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2.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3.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4.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5.xml" ContentType="application/vnd.openxmlformats-officedocument.themeOverrid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xml" ContentType="application/vnd.openxmlformats-officedocument.drawing+xml"/>
  <Override PartName="/xl/comments2.xml" ContentType="application/vnd.openxmlformats-officedocument.spreadsheetml.comment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6.xml" ContentType="application/vnd.openxmlformats-officedocument.themeOverrid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17.xml" ContentType="application/vnd.openxmlformats-officedocument.themeOverrid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18.xml" ContentType="application/vnd.openxmlformats-officedocument.themeOverrid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xml" ContentType="application/vnd.openxmlformats-officedocument.drawing+xml"/>
  <Override PartName="/xl/comments3.xml" ContentType="application/vnd.openxmlformats-officedocument.spreadsheetml.comment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19.xml" ContentType="application/vnd.openxmlformats-officedocument.themeOverrid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0.xml" ContentType="application/vnd.openxmlformats-officedocument.themeOverrid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21.xml" ContentType="application/vnd.openxmlformats-officedocument.themeOverrid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22.xml" ContentType="application/vnd.openxmlformats-officedocument.themeOverrid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23.xml" ContentType="application/vnd.openxmlformats-officedocument.themeOverrid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24.xml" ContentType="application/vnd.openxmlformats-officedocument.themeOverrid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25.xml" ContentType="application/vnd.openxmlformats-officedocument.themeOverrid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26.xml" ContentType="application/vnd.openxmlformats-officedocument.themeOverrid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27.xml" ContentType="application/vnd.openxmlformats-officedocument.themeOverrid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mc:AlternateContent xmlns:mc="http://schemas.openxmlformats.org/markup-compatibility/2006">
    <mc:Choice Requires="x15">
      <x15ac:absPath xmlns:x15ac="http://schemas.microsoft.com/office/spreadsheetml/2010/11/ac" url="C:\Users\PERSONAL\Desktop\Laura\Enero-Junio\Documentos\Publicación de documentos\RT03\"/>
    </mc:Choice>
  </mc:AlternateContent>
  <xr:revisionPtr revIDLastSave="0" documentId="13_ncr:1_{9B2CA498-C33D-4513-A026-3FF11FBF4DEE}" xr6:coauthVersionLast="46" xr6:coauthVersionMax="46" xr10:uidLastSave="{00000000-0000-0000-0000-000000000000}"/>
  <workbookProtection workbookPassword="E9FB" lockStructure="1"/>
  <bookViews>
    <workbookView xWindow="-120" yWindow="-120" windowWidth="20730" windowHeight="11160" tabRatio="791" firstSheet="8" activeTab="8" xr2:uid="{00000000-000D-0000-FFFF-FFFF00000000}"/>
  </bookViews>
  <sheets>
    <sheet name="DATOS %" sheetId="22" state="hidden" r:id="rId1"/>
    <sheet name="RT03-F11 %" sheetId="30" state="hidden" r:id="rId2"/>
    <sheet name="Después de ajuste %" sheetId="31" state="hidden" r:id="rId3"/>
    <sheet name="Pc %" sheetId="38" state="hidden" r:id="rId4"/>
    <sheet name="VERIFICACIÓN DE LA ESCALA %" sheetId="18" state="hidden" r:id="rId5"/>
    <sheet name="CMC %" sheetId="36" state="hidden" r:id="rId6"/>
    <sheet name="Máx. y Mín. %" sheetId="35" state="hidden" r:id="rId7"/>
    <sheet name="RT03-F14% " sheetId="42" state="hidden" r:id="rId8"/>
    <sheet name="RT03-F38 % " sheetId="26" r:id="rId9"/>
    <sheet name="RT03-F17 %" sheetId="41" state="hidden" r:id="rId10"/>
  </sheets>
  <definedNames>
    <definedName name="_xlnm.Print_Area" localSheetId="5">'CMC %'!$A$1:$N$16</definedName>
    <definedName name="_xlnm.Print_Area" localSheetId="0">'DATOS %'!$A$1:$AI$164</definedName>
    <definedName name="_xlnm.Print_Area" localSheetId="2">'Después de ajuste %'!$A$1:$Y$126</definedName>
    <definedName name="_xlnm.Print_Area" localSheetId="6">'Máx. y Mín. %'!$A$1:$M$22</definedName>
    <definedName name="_xlnm.Print_Area" localSheetId="3">'Pc %'!$A$1:$Q$25</definedName>
    <definedName name="_xlnm.Print_Area" localSheetId="1">'RT03-F11 %'!$A$1:$Y$127</definedName>
    <definedName name="_xlnm.Print_Area" localSheetId="7">'RT03-F14% '!$A$1:$K$164</definedName>
    <definedName name="_xlnm.Print_Area" localSheetId="9">'RT03-F17 %'!$A$1:$K$106</definedName>
    <definedName name="_xlnm.Print_Area" localSheetId="8">'RT03-F38 % '!$A$1:$K$164</definedName>
    <definedName name="_xlnm.Print_Area" localSheetId="4">'VERIFICACIÓN DE LA ESCALA %'!$A$1:$W$61</definedName>
    <definedName name="Print_Area" localSheetId="7">'RT03-F14% '!$A$1:$K$158</definedName>
    <definedName name="Print_Area" localSheetId="9">'RT03-F17 %'!$A$1:$K$100</definedName>
    <definedName name="Print_Area" localSheetId="8">'RT03-F38 % '!$A$1:$K$158</definedName>
    <definedName name="Print_Area" localSheetId="4">'VERIFICACIÓN DE LA ESCALA %'!$A$1:$V$60</definedName>
    <definedName name="Print_Titles" localSheetId="4">'VERIFICACIÓN DE LA ESCALA %'!$1:$1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60" i="42" l="1"/>
  <c r="C160" i="42"/>
  <c r="H159" i="42"/>
  <c r="C159" i="42"/>
  <c r="C103" i="42"/>
  <c r="C110" i="42" s="1"/>
  <c r="C102" i="42"/>
  <c r="C109" i="42" s="1"/>
  <c r="C101" i="42"/>
  <c r="C108" i="42" s="1"/>
  <c r="F115" i="42" s="1"/>
  <c r="I95" i="42"/>
  <c r="G95" i="42"/>
  <c r="E95" i="42"/>
  <c r="D95" i="42"/>
  <c r="I94" i="42"/>
  <c r="G94" i="42"/>
  <c r="D94" i="42"/>
  <c r="I93" i="42"/>
  <c r="G93" i="42"/>
  <c r="D93" i="42"/>
  <c r="I92" i="42"/>
  <c r="G62" i="42"/>
  <c r="E29" i="42"/>
  <c r="A27" i="42"/>
  <c r="E22" i="42"/>
  <c r="E21" i="42"/>
  <c r="E17" i="42"/>
  <c r="E16" i="42"/>
  <c r="E15" i="42"/>
  <c r="J10" i="42"/>
  <c r="D8" i="42"/>
  <c r="D7" i="42"/>
  <c r="D6" i="42"/>
  <c r="H102" i="41" l="1"/>
  <c r="C102" i="41"/>
  <c r="H101" i="41"/>
  <c r="C101" i="41"/>
  <c r="E29" i="41"/>
  <c r="A27" i="41"/>
  <c r="E22" i="41"/>
  <c r="E21" i="41"/>
  <c r="E17" i="41"/>
  <c r="E16" i="41"/>
  <c r="E15" i="41"/>
  <c r="J10" i="41"/>
  <c r="D8" i="41"/>
  <c r="D7" i="41"/>
  <c r="D6" i="41"/>
  <c r="E22" i="26" l="1"/>
  <c r="H15" i="22"/>
  <c r="F22" i="42" s="1"/>
  <c r="F22" i="26" l="1"/>
  <c r="F22" i="41"/>
  <c r="G112" i="31" l="1"/>
  <c r="H112" i="31" s="1"/>
  <c r="L112" i="31" s="1"/>
  <c r="N112" i="31" s="1"/>
  <c r="G112" i="30"/>
  <c r="H112" i="30" s="1"/>
  <c r="L112" i="30" s="1"/>
  <c r="N112" i="30" s="1"/>
  <c r="K7" i="35"/>
  <c r="I7" i="35"/>
  <c r="E7" i="35"/>
  <c r="C7" i="35"/>
  <c r="M32" i="22" l="1"/>
  <c r="O32" i="22" s="1"/>
  <c r="G62" i="26" l="1"/>
  <c r="N57" i="31" l="1"/>
  <c r="N57" i="30"/>
  <c r="B12" i="38" l="1"/>
  <c r="B13" i="38" s="1"/>
  <c r="A9" i="38" s="1"/>
  <c r="M4" i="36" l="1"/>
  <c r="F12" i="36" s="1"/>
  <c r="L12" i="36" l="1"/>
  <c r="L7" i="35" l="1"/>
  <c r="F7" i="35"/>
  <c r="P45" i="22" l="1"/>
  <c r="P46" i="22"/>
  <c r="P47" i="22"/>
  <c r="P48" i="22"/>
  <c r="P44" i="22"/>
  <c r="P39" i="22"/>
  <c r="P40" i="22"/>
  <c r="P41" i="22"/>
  <c r="P42" i="22"/>
  <c r="P38" i="22"/>
  <c r="M31" i="22" l="1"/>
  <c r="O31" i="22" s="1"/>
  <c r="AF118" i="22" l="1"/>
  <c r="B12" i="18"/>
  <c r="Q117" i="31"/>
  <c r="G117" i="31"/>
  <c r="G116" i="31"/>
  <c r="G115" i="31"/>
  <c r="J111" i="31"/>
  <c r="G111" i="31"/>
  <c r="G110" i="31"/>
  <c r="G109" i="31"/>
  <c r="G108" i="31"/>
  <c r="G106" i="31"/>
  <c r="F106" i="31"/>
  <c r="G105" i="31"/>
  <c r="F105" i="31"/>
  <c r="F104" i="31"/>
  <c r="G103" i="31"/>
  <c r="F103" i="31"/>
  <c r="F102" i="31"/>
  <c r="E102" i="31"/>
  <c r="G101" i="31"/>
  <c r="F101" i="31"/>
  <c r="G100" i="31"/>
  <c r="F100" i="31"/>
  <c r="F99" i="31"/>
  <c r="G98" i="31"/>
  <c r="J95" i="31"/>
  <c r="G95" i="31"/>
  <c r="F95" i="31"/>
  <c r="I95" i="31" s="1"/>
  <c r="J94" i="31"/>
  <c r="G94" i="31"/>
  <c r="F94" i="31"/>
  <c r="I94" i="31" s="1"/>
  <c r="J93" i="31"/>
  <c r="F93" i="31"/>
  <c r="I93" i="31" s="1"/>
  <c r="I90" i="31"/>
  <c r="G90" i="31"/>
  <c r="M46" i="31"/>
  <c r="G46" i="31"/>
  <c r="M45" i="31"/>
  <c r="G45" i="31"/>
  <c r="M44" i="31"/>
  <c r="G44" i="31"/>
  <c r="O39" i="31"/>
  <c r="D39" i="31"/>
  <c r="O38" i="31"/>
  <c r="O37" i="31"/>
  <c r="D36" i="31"/>
  <c r="F35" i="31"/>
  <c r="D35" i="31"/>
  <c r="D33" i="31"/>
  <c r="O74" i="31" s="1"/>
  <c r="D31" i="31"/>
  <c r="N55" i="31" s="1"/>
  <c r="F30" i="31"/>
  <c r="D30" i="31"/>
  <c r="F29" i="31"/>
  <c r="P80" i="31" s="1"/>
  <c r="D29" i="31"/>
  <c r="O72" i="31" s="1"/>
  <c r="F28" i="31"/>
  <c r="D28" i="31"/>
  <c r="F27" i="31"/>
  <c r="D27" i="31"/>
  <c r="F26" i="31"/>
  <c r="D26" i="31"/>
  <c r="P22" i="31"/>
  <c r="O22" i="31"/>
  <c r="I22" i="31"/>
  <c r="G22" i="31"/>
  <c r="E22" i="31"/>
  <c r="C22" i="31"/>
  <c r="B22" i="31"/>
  <c r="P21" i="31"/>
  <c r="O21" i="31"/>
  <c r="I21" i="31"/>
  <c r="G21" i="31"/>
  <c r="E21" i="31"/>
  <c r="C21" i="31"/>
  <c r="B21" i="31"/>
  <c r="R20" i="31"/>
  <c r="Q20" i="31"/>
  <c r="R19" i="31"/>
  <c r="Q19" i="31"/>
  <c r="P19" i="31"/>
  <c r="O19" i="31"/>
  <c r="I19" i="31"/>
  <c r="G19" i="31"/>
  <c r="E19" i="31"/>
  <c r="C19" i="31"/>
  <c r="B19" i="31"/>
  <c r="P18" i="31"/>
  <c r="O18" i="31"/>
  <c r="G93" i="31" s="1"/>
  <c r="I18" i="31"/>
  <c r="E93" i="31" s="1"/>
  <c r="G18" i="31"/>
  <c r="E18" i="31"/>
  <c r="E94" i="31" s="1"/>
  <c r="C18" i="31"/>
  <c r="D92" i="31" s="1"/>
  <c r="B18" i="31"/>
  <c r="P17" i="31"/>
  <c r="O17" i="31"/>
  <c r="I17" i="31"/>
  <c r="G17" i="31"/>
  <c r="E17" i="31"/>
  <c r="C17" i="31"/>
  <c r="B17" i="31"/>
  <c r="P16" i="31"/>
  <c r="O16" i="31"/>
  <c r="I16" i="31"/>
  <c r="G16" i="31"/>
  <c r="E16" i="31"/>
  <c r="C16" i="31"/>
  <c r="B16" i="31"/>
  <c r="P15" i="31"/>
  <c r="O15" i="31"/>
  <c r="I15" i="31"/>
  <c r="G15" i="31"/>
  <c r="E15" i="31"/>
  <c r="C15" i="31"/>
  <c r="B15" i="31"/>
  <c r="P14" i="31"/>
  <c r="O14" i="31"/>
  <c r="G104" i="31" s="1"/>
  <c r="I14" i="31"/>
  <c r="G14" i="31"/>
  <c r="E14" i="31"/>
  <c r="E103" i="31" s="1"/>
  <c r="H103" i="31" s="1"/>
  <c r="C14" i="31"/>
  <c r="B14" i="31"/>
  <c r="P13" i="31"/>
  <c r="O13" i="31"/>
  <c r="I13" i="31"/>
  <c r="G13" i="31"/>
  <c r="E13" i="31"/>
  <c r="C13" i="31"/>
  <c r="B13" i="31"/>
  <c r="P12" i="31"/>
  <c r="O12" i="31"/>
  <c r="I12" i="31"/>
  <c r="G12" i="31"/>
  <c r="E12" i="31"/>
  <c r="C12" i="31"/>
  <c r="B12" i="31"/>
  <c r="P11" i="31"/>
  <c r="O11" i="31"/>
  <c r="I11" i="31"/>
  <c r="G11" i="31"/>
  <c r="E11" i="31"/>
  <c r="D98" i="31" s="1"/>
  <c r="C11" i="31"/>
  <c r="B11" i="31"/>
  <c r="P10" i="31"/>
  <c r="O10" i="31"/>
  <c r="I10" i="31"/>
  <c r="G10" i="31"/>
  <c r="E10" i="31"/>
  <c r="C10" i="31"/>
  <c r="B10" i="31"/>
  <c r="P9" i="31"/>
  <c r="O9" i="31"/>
  <c r="G99" i="31" s="1"/>
  <c r="I9" i="31"/>
  <c r="G9" i="31"/>
  <c r="E9" i="31"/>
  <c r="E98" i="31" s="1"/>
  <c r="C9" i="31"/>
  <c r="B9" i="31"/>
  <c r="P8" i="31"/>
  <c r="O8" i="31"/>
  <c r="I8" i="31"/>
  <c r="G8" i="31"/>
  <c r="E8" i="31"/>
  <c r="C8" i="31"/>
  <c r="B8" i="31"/>
  <c r="P3" i="31"/>
  <c r="M3" i="31"/>
  <c r="H9" i="35" s="1"/>
  <c r="J3" i="31"/>
  <c r="G3" i="31"/>
  <c r="D3" i="31"/>
  <c r="B3" i="31"/>
  <c r="G95" i="30"/>
  <c r="G100" i="30"/>
  <c r="G105" i="30"/>
  <c r="B16" i="30"/>
  <c r="B15" i="30"/>
  <c r="B14" i="30"/>
  <c r="B13" i="30"/>
  <c r="B12" i="30"/>
  <c r="B11" i="30"/>
  <c r="B10" i="30"/>
  <c r="B9" i="30"/>
  <c r="B8" i="30"/>
  <c r="B17" i="30"/>
  <c r="P17" i="30"/>
  <c r="P16" i="30"/>
  <c r="P15" i="30"/>
  <c r="P14" i="30"/>
  <c r="P13" i="30"/>
  <c r="P12" i="30"/>
  <c r="P11" i="30"/>
  <c r="P10" i="30"/>
  <c r="P9" i="30"/>
  <c r="P8" i="30"/>
  <c r="O17" i="30"/>
  <c r="O16" i="30"/>
  <c r="O15" i="30"/>
  <c r="O14" i="30"/>
  <c r="O13" i="30"/>
  <c r="O12" i="30"/>
  <c r="O11" i="30"/>
  <c r="O10" i="30"/>
  <c r="O9" i="30"/>
  <c r="O8" i="30"/>
  <c r="R20" i="30"/>
  <c r="R19" i="30"/>
  <c r="Q20" i="30"/>
  <c r="Q19" i="30"/>
  <c r="P19" i="30"/>
  <c r="O19" i="30"/>
  <c r="I19" i="30"/>
  <c r="G19" i="30"/>
  <c r="E19" i="30"/>
  <c r="C19" i="30"/>
  <c r="B19" i="30"/>
  <c r="P18" i="30"/>
  <c r="O18" i="30"/>
  <c r="B18" i="30"/>
  <c r="I18" i="30"/>
  <c r="G18" i="30"/>
  <c r="E18" i="30"/>
  <c r="C18" i="30"/>
  <c r="I17" i="30"/>
  <c r="G17" i="30"/>
  <c r="E17" i="30"/>
  <c r="C17" i="30"/>
  <c r="I16" i="30"/>
  <c r="G16" i="30"/>
  <c r="E16" i="30"/>
  <c r="C16" i="30"/>
  <c r="I15" i="30"/>
  <c r="G15" i="30"/>
  <c r="E15" i="30"/>
  <c r="C15" i="30"/>
  <c r="I14" i="30"/>
  <c r="G14" i="30"/>
  <c r="E14" i="30"/>
  <c r="C14" i="30"/>
  <c r="I13" i="30"/>
  <c r="G13" i="30"/>
  <c r="E13" i="30"/>
  <c r="C13" i="30"/>
  <c r="I12" i="30"/>
  <c r="G12" i="30"/>
  <c r="E12" i="30"/>
  <c r="C12" i="30"/>
  <c r="I11" i="30"/>
  <c r="G11" i="30"/>
  <c r="E11" i="30"/>
  <c r="C11" i="30"/>
  <c r="I10" i="30"/>
  <c r="G10" i="30"/>
  <c r="E10" i="30"/>
  <c r="C10" i="30"/>
  <c r="I9" i="30"/>
  <c r="G9" i="30"/>
  <c r="E9" i="30"/>
  <c r="C9" i="30"/>
  <c r="I8" i="30"/>
  <c r="G8" i="30"/>
  <c r="E8" i="30"/>
  <c r="C8" i="30"/>
  <c r="Z127" i="22"/>
  <c r="W127" i="22"/>
  <c r="T127" i="22"/>
  <c r="Z125" i="22"/>
  <c r="Z122" i="22"/>
  <c r="W122" i="22"/>
  <c r="T122" i="22"/>
  <c r="Z126" i="22"/>
  <c r="W126" i="22"/>
  <c r="T126" i="22"/>
  <c r="W125" i="22"/>
  <c r="T125" i="22"/>
  <c r="Z124" i="22"/>
  <c r="W124" i="22"/>
  <c r="T124" i="22"/>
  <c r="Z123" i="22"/>
  <c r="W123" i="22"/>
  <c r="T123" i="22"/>
  <c r="V114" i="22"/>
  <c r="S114" i="22"/>
  <c r="P114" i="22"/>
  <c r="V115" i="22"/>
  <c r="S115" i="22"/>
  <c r="P115" i="22"/>
  <c r="V117" i="22"/>
  <c r="S117" i="22"/>
  <c r="P116" i="22"/>
  <c r="P117" i="22"/>
  <c r="V116" i="22"/>
  <c r="S116" i="22"/>
  <c r="V113" i="22"/>
  <c r="S113" i="22"/>
  <c r="P113" i="22"/>
  <c r="AA122" i="22" l="1"/>
  <c r="AA123" i="22"/>
  <c r="K19" i="31" s="1"/>
  <c r="M19" i="31" s="1"/>
  <c r="W116" i="22"/>
  <c r="K18" i="30" s="1"/>
  <c r="E104" i="31"/>
  <c r="H104" i="31" s="1"/>
  <c r="W114" i="22"/>
  <c r="AA125" i="22"/>
  <c r="H98" i="31"/>
  <c r="AA127" i="22"/>
  <c r="AA126" i="22"/>
  <c r="K19" i="30"/>
  <c r="K18" i="31"/>
  <c r="E95" i="31" s="1"/>
  <c r="H95" i="31" s="1"/>
  <c r="L95" i="31" s="1"/>
  <c r="N95" i="31" s="1"/>
  <c r="AA124" i="22"/>
  <c r="W113" i="22"/>
  <c r="W115" i="22"/>
  <c r="H94" i="31"/>
  <c r="L94" i="31" s="1"/>
  <c r="N94" i="31" s="1"/>
  <c r="H93" i="31"/>
  <c r="L93" i="31" s="1"/>
  <c r="N93" i="31" s="1"/>
  <c r="F36" i="31"/>
  <c r="E111" i="31"/>
  <c r="H111" i="31" s="1"/>
  <c r="L111" i="31" s="1"/>
  <c r="N111" i="31" s="1"/>
  <c r="K21" i="31"/>
  <c r="M21" i="31" s="1"/>
  <c r="K22" i="31"/>
  <c r="M22" i="31" s="1"/>
  <c r="E99" i="31"/>
  <c r="H99" i="31" s="1"/>
  <c r="D103" i="31"/>
  <c r="E109" i="31"/>
  <c r="H109" i="31" s="1"/>
  <c r="W117" i="22"/>
  <c r="J111" i="30"/>
  <c r="J95" i="30"/>
  <c r="J94" i="30"/>
  <c r="J93" i="30"/>
  <c r="R44" i="22"/>
  <c r="R45" i="22"/>
  <c r="K9" i="31" s="1"/>
  <c r="M9" i="31" s="1"/>
  <c r="R46" i="22"/>
  <c r="R47" i="22"/>
  <c r="K11" i="31" s="1"/>
  <c r="M11" i="31" s="1"/>
  <c r="R48" i="22"/>
  <c r="K12" i="31" s="1"/>
  <c r="M12" i="31" s="1"/>
  <c r="K10" i="30" l="1"/>
  <c r="K10" i="31"/>
  <c r="M10" i="31" s="1"/>
  <c r="K8" i="30"/>
  <c r="K8" i="31"/>
  <c r="M8" i="31" s="1"/>
  <c r="M18" i="31"/>
  <c r="K12" i="30"/>
  <c r="K11" i="30"/>
  <c r="K9" i="30"/>
  <c r="G90" i="30"/>
  <c r="G111" i="30" l="1"/>
  <c r="O37" i="30" l="1"/>
  <c r="G116" i="30" l="1"/>
  <c r="R58" i="22" l="1"/>
  <c r="R39" i="22" l="1"/>
  <c r="R40" i="22"/>
  <c r="R41" i="22"/>
  <c r="R42" i="22"/>
  <c r="R38" i="22"/>
  <c r="K13" i="30" l="1"/>
  <c r="K13" i="31"/>
  <c r="M13" i="31" s="1"/>
  <c r="K16" i="30"/>
  <c r="K16" i="31"/>
  <c r="M16" i="31" s="1"/>
  <c r="K15" i="30"/>
  <c r="K15" i="31"/>
  <c r="M15" i="31" s="1"/>
  <c r="K17" i="30"/>
  <c r="K17" i="31"/>
  <c r="M17" i="31" s="1"/>
  <c r="K14" i="30"/>
  <c r="K14" i="31"/>
  <c r="M14" i="31" s="1"/>
  <c r="A27" i="26"/>
  <c r="J10" i="26" l="1"/>
  <c r="E95" i="26" l="1"/>
  <c r="G117" i="30"/>
  <c r="G44" i="30" l="1"/>
  <c r="G45" i="30"/>
  <c r="G95" i="26" l="1"/>
  <c r="M8" i="30" l="1"/>
  <c r="B3" i="30" l="1"/>
  <c r="H32" i="22" l="1"/>
  <c r="H31" i="22"/>
  <c r="AF117" i="22"/>
  <c r="AF116" i="22" s="1"/>
  <c r="AF115" i="22" s="1"/>
  <c r="C103" i="26" l="1"/>
  <c r="C102" i="26"/>
  <c r="C101" i="26"/>
  <c r="Q117" i="30" l="1"/>
  <c r="G115" i="30"/>
  <c r="G110" i="30"/>
  <c r="G109" i="30"/>
  <c r="G108" i="30"/>
  <c r="G106" i="30"/>
  <c r="F106" i="30"/>
  <c r="F105" i="30"/>
  <c r="F104" i="30"/>
  <c r="G103" i="30"/>
  <c r="F103" i="30"/>
  <c r="F102" i="30"/>
  <c r="E102" i="30"/>
  <c r="G101" i="30"/>
  <c r="F101" i="30"/>
  <c r="F100" i="30"/>
  <c r="F99" i="30"/>
  <c r="G98" i="30"/>
  <c r="F95" i="30"/>
  <c r="I95" i="30" s="1"/>
  <c r="G94" i="30"/>
  <c r="F94" i="30"/>
  <c r="I94" i="30" s="1"/>
  <c r="F93" i="30"/>
  <c r="I93" i="30" s="1"/>
  <c r="I90" i="30"/>
  <c r="M46" i="30"/>
  <c r="G46" i="30"/>
  <c r="M45" i="30"/>
  <c r="M44" i="30"/>
  <c r="O39" i="30"/>
  <c r="D39" i="30"/>
  <c r="O38" i="30"/>
  <c r="D36" i="30"/>
  <c r="E111" i="30" s="1"/>
  <c r="F35" i="30"/>
  <c r="D35" i="30"/>
  <c r="D33" i="30"/>
  <c r="D31" i="30"/>
  <c r="N55" i="30" s="1"/>
  <c r="F30" i="30"/>
  <c r="D30" i="30"/>
  <c r="F29" i="30"/>
  <c r="A101" i="42" s="1"/>
  <c r="A108" i="42" s="1"/>
  <c r="D29" i="30"/>
  <c r="O72" i="30" s="1"/>
  <c r="F28" i="30"/>
  <c r="D28" i="30"/>
  <c r="F27" i="30"/>
  <c r="D27" i="30"/>
  <c r="F26" i="30"/>
  <c r="D26" i="30"/>
  <c r="P22" i="30"/>
  <c r="O22" i="30"/>
  <c r="I22" i="30"/>
  <c r="G22" i="30"/>
  <c r="E22" i="30"/>
  <c r="C22" i="30"/>
  <c r="B22" i="30"/>
  <c r="P21" i="30"/>
  <c r="O21" i="30"/>
  <c r="I21" i="30"/>
  <c r="G21" i="30"/>
  <c r="E21" i="30"/>
  <c r="C21" i="30"/>
  <c r="B21" i="30"/>
  <c r="O21" i="18"/>
  <c r="O20" i="18"/>
  <c r="N20" i="18"/>
  <c r="G8" i="18"/>
  <c r="M19" i="30"/>
  <c r="E8" i="18"/>
  <c r="D8" i="18"/>
  <c r="C8" i="18"/>
  <c r="A8" i="18"/>
  <c r="G93" i="30"/>
  <c r="M18" i="30"/>
  <c r="E94" i="30"/>
  <c r="D92" i="30"/>
  <c r="M17" i="30"/>
  <c r="M16" i="30"/>
  <c r="M15" i="30"/>
  <c r="G104" i="30"/>
  <c r="M14" i="30"/>
  <c r="E103" i="30"/>
  <c r="M13" i="30"/>
  <c r="M12" i="30"/>
  <c r="M11" i="30"/>
  <c r="D98" i="30"/>
  <c r="M10" i="30"/>
  <c r="G99" i="30"/>
  <c r="M9" i="30"/>
  <c r="E98" i="30"/>
  <c r="H98" i="30" s="1"/>
  <c r="P3" i="30"/>
  <c r="M3" i="30"/>
  <c r="B9" i="35" s="1"/>
  <c r="J3" i="30"/>
  <c r="G3" i="30"/>
  <c r="D3" i="30"/>
  <c r="E10" i="42" s="1"/>
  <c r="N48" i="22"/>
  <c r="N47" i="22"/>
  <c r="N46" i="22"/>
  <c r="N45" i="22"/>
  <c r="N44" i="22"/>
  <c r="M48" i="22"/>
  <c r="M47" i="22"/>
  <c r="M46" i="22"/>
  <c r="M45" i="22"/>
  <c r="M44" i="22"/>
  <c r="N42" i="22"/>
  <c r="N41" i="22"/>
  <c r="N40" i="22"/>
  <c r="N39" i="22"/>
  <c r="N38" i="22"/>
  <c r="M42" i="22"/>
  <c r="M41" i="22"/>
  <c r="M40" i="22"/>
  <c r="M39" i="22"/>
  <c r="M38" i="22"/>
  <c r="E10" i="41" l="1"/>
  <c r="H94" i="30"/>
  <c r="L94" i="30" s="1"/>
  <c r="N94" i="30" s="1"/>
  <c r="J45" i="31"/>
  <c r="J46" i="31"/>
  <c r="J44" i="31"/>
  <c r="D46" i="31"/>
  <c r="D44" i="31"/>
  <c r="D45" i="31"/>
  <c r="E109" i="30"/>
  <c r="H109" i="30" s="1"/>
  <c r="O74" i="30"/>
  <c r="D45" i="30"/>
  <c r="D44" i="30"/>
  <c r="J46" i="30"/>
  <c r="J44" i="30"/>
  <c r="D46" i="30"/>
  <c r="J45" i="30"/>
  <c r="H111" i="30"/>
  <c r="L111" i="30" s="1"/>
  <c r="N111" i="30" s="1"/>
  <c r="E10" i="26"/>
  <c r="K22" i="30"/>
  <c r="M22" i="30" s="1"/>
  <c r="K21" i="30"/>
  <c r="M21" i="30" s="1"/>
  <c r="E93" i="30"/>
  <c r="B8" i="18"/>
  <c r="N21" i="18"/>
  <c r="F8" i="18"/>
  <c r="E99" i="30"/>
  <c r="H99" i="30" s="1"/>
  <c r="H103" i="30"/>
  <c r="D103" i="30"/>
  <c r="P80" i="30"/>
  <c r="A101" i="26"/>
  <c r="F36" i="30"/>
  <c r="E104" i="30"/>
  <c r="H104" i="30" s="1"/>
  <c r="K56" i="31" l="1"/>
  <c r="K57" i="31"/>
  <c r="G47" i="31"/>
  <c r="E101" i="31"/>
  <c r="H101" i="31" s="1"/>
  <c r="K55" i="31"/>
  <c r="K58" i="31" s="1"/>
  <c r="D37" i="31" s="1"/>
  <c r="E106" i="31"/>
  <c r="H106" i="31" s="1"/>
  <c r="N47" i="31"/>
  <c r="H93" i="30"/>
  <c r="L93" i="30" s="1"/>
  <c r="N93" i="30" s="1"/>
  <c r="K57" i="30"/>
  <c r="K55" i="30"/>
  <c r="K56" i="30"/>
  <c r="E106" i="30"/>
  <c r="H106" i="30" s="1"/>
  <c r="G47" i="30"/>
  <c r="E97" i="30" s="1"/>
  <c r="N47" i="30"/>
  <c r="D102" i="30" s="1"/>
  <c r="E101" i="30"/>
  <c r="H101" i="30" s="1"/>
  <c r="E95" i="30"/>
  <c r="H95" i="30" s="1"/>
  <c r="L95" i="30" s="1"/>
  <c r="N95" i="30" s="1"/>
  <c r="P70" i="31" l="1"/>
  <c r="D102" i="31"/>
  <c r="E105" i="31" s="1"/>
  <c r="H105" i="31" s="1"/>
  <c r="D107" i="31"/>
  <c r="O78" i="31"/>
  <c r="E107" i="31"/>
  <c r="E108" i="31"/>
  <c r="H108" i="31" s="1"/>
  <c r="F37" i="31"/>
  <c r="P78" i="31" s="1"/>
  <c r="E97" i="31"/>
  <c r="O68" i="31"/>
  <c r="D97" i="31"/>
  <c r="E100" i="31" s="1"/>
  <c r="H100" i="31" s="1"/>
  <c r="E105" i="30"/>
  <c r="H105" i="30" s="1"/>
  <c r="K58" i="30"/>
  <c r="D37" i="30" s="1"/>
  <c r="E108" i="30" s="1"/>
  <c r="H108" i="30" s="1"/>
  <c r="O68" i="30"/>
  <c r="D97" i="30"/>
  <c r="P70" i="30"/>
  <c r="K15" i="22"/>
  <c r="F34" i="31" s="1"/>
  <c r="E116" i="31" s="1"/>
  <c r="H116" i="31" s="1"/>
  <c r="L116" i="31" s="1"/>
  <c r="N116" i="31" l="1"/>
  <c r="E100" i="30"/>
  <c r="H100" i="30" s="1"/>
  <c r="D107" i="30"/>
  <c r="F37" i="30"/>
  <c r="P78" i="30" s="1"/>
  <c r="O78" i="30"/>
  <c r="E107" i="30"/>
  <c r="F34" i="30"/>
  <c r="E116" i="30" s="1"/>
  <c r="H116" i="30" s="1"/>
  <c r="J15" i="22"/>
  <c r="F33" i="31" s="1"/>
  <c r="P76" i="31" l="1"/>
  <c r="E110" i="31"/>
  <c r="H110" i="31" s="1"/>
  <c r="L116" i="30"/>
  <c r="F33" i="30"/>
  <c r="E32" i="22"/>
  <c r="E31" i="22"/>
  <c r="G92" i="42" s="1"/>
  <c r="D32" i="22"/>
  <c r="D31" i="22"/>
  <c r="D92" i="42" s="1"/>
  <c r="C32" i="22"/>
  <c r="C31" i="22"/>
  <c r="E110" i="30" l="1"/>
  <c r="H110" i="30" s="1"/>
  <c r="N116" i="30"/>
  <c r="B7" i="31"/>
  <c r="P7" i="30"/>
  <c r="O7" i="30"/>
  <c r="G89" i="30" s="1"/>
  <c r="C7" i="30"/>
  <c r="G55" i="30" s="1"/>
  <c r="H55" i="30" s="1"/>
  <c r="P7" i="31"/>
  <c r="B7" i="30"/>
  <c r="I7" i="31"/>
  <c r="C7" i="31"/>
  <c r="O7" i="31"/>
  <c r="G89" i="31" s="1"/>
  <c r="I7" i="30"/>
  <c r="K7" i="31"/>
  <c r="E90" i="31" s="1"/>
  <c r="H90" i="31" s="1"/>
  <c r="K7" i="30"/>
  <c r="G7" i="30"/>
  <c r="G7" i="31"/>
  <c r="K66" i="31"/>
  <c r="P76" i="30"/>
  <c r="K66" i="30" s="1"/>
  <c r="J90" i="30" s="1"/>
  <c r="M7" i="30" l="1"/>
  <c r="E89" i="31"/>
  <c r="H89" i="31" s="1"/>
  <c r="M7" i="31"/>
  <c r="O66" i="31"/>
  <c r="D88" i="31"/>
  <c r="O30" i="31"/>
  <c r="G57" i="31"/>
  <c r="H57" i="31" s="1"/>
  <c r="G56" i="31"/>
  <c r="H56" i="31" s="1"/>
  <c r="G55" i="31"/>
  <c r="H55" i="31" s="1"/>
  <c r="J90" i="31"/>
  <c r="L90" i="31" s="1"/>
  <c r="J89" i="31"/>
  <c r="J89" i="30"/>
  <c r="E90" i="30"/>
  <c r="H90" i="30" s="1"/>
  <c r="E89" i="30"/>
  <c r="H89" i="30" s="1"/>
  <c r="D88" i="30"/>
  <c r="O30" i="30"/>
  <c r="O66" i="30"/>
  <c r="G56" i="30"/>
  <c r="H56" i="30" s="1"/>
  <c r="G57" i="30"/>
  <c r="H57" i="30" s="1"/>
  <c r="H159" i="26"/>
  <c r="N90" i="31" l="1"/>
  <c r="L89" i="31"/>
  <c r="H59" i="31"/>
  <c r="H58" i="31"/>
  <c r="O29" i="31"/>
  <c r="O27" i="31"/>
  <c r="O31" i="31"/>
  <c r="O28" i="31"/>
  <c r="K74" i="31"/>
  <c r="J110" i="31" s="1"/>
  <c r="L110" i="31" s="1"/>
  <c r="K76" i="31"/>
  <c r="J108" i="31" s="1"/>
  <c r="L108" i="31" s="1"/>
  <c r="N108" i="31" s="1"/>
  <c r="K68" i="31"/>
  <c r="K72" i="31"/>
  <c r="J109" i="31" s="1"/>
  <c r="L109" i="31" s="1"/>
  <c r="N109" i="31" s="1"/>
  <c r="K70" i="31"/>
  <c r="L89" i="30"/>
  <c r="L90" i="30"/>
  <c r="H59" i="30"/>
  <c r="H60" i="30" s="1"/>
  <c r="H58" i="30"/>
  <c r="C122" i="30" s="1"/>
  <c r="F101" i="42" s="1"/>
  <c r="O31" i="30"/>
  <c r="O27" i="30"/>
  <c r="O29" i="30"/>
  <c r="O28" i="30"/>
  <c r="K72" i="30"/>
  <c r="J109" i="30" s="1"/>
  <c r="L109" i="30" s="1"/>
  <c r="N109" i="30" s="1"/>
  <c r="K68" i="30"/>
  <c r="K74" i="30"/>
  <c r="J110" i="30" s="1"/>
  <c r="L110" i="30" s="1"/>
  <c r="K70" i="30"/>
  <c r="K76" i="30"/>
  <c r="J108" i="30" s="1"/>
  <c r="L108" i="30" s="1"/>
  <c r="N108" i="30" s="1"/>
  <c r="N110" i="30" l="1"/>
  <c r="N90" i="30"/>
  <c r="N89" i="30"/>
  <c r="N89" i="31"/>
  <c r="N125" i="31" s="1"/>
  <c r="N110" i="31"/>
  <c r="B18" i="38"/>
  <c r="C125" i="30"/>
  <c r="F104" i="42" s="1"/>
  <c r="J103" i="31"/>
  <c r="L103" i="31" s="1"/>
  <c r="J104" i="31"/>
  <c r="L104" i="31" s="1"/>
  <c r="J105" i="31"/>
  <c r="L105" i="31" s="1"/>
  <c r="J106" i="31"/>
  <c r="L106" i="31" s="1"/>
  <c r="C122" i="31"/>
  <c r="F108" i="42" s="1"/>
  <c r="F121" i="42" s="1"/>
  <c r="P30" i="31"/>
  <c r="J100" i="31"/>
  <c r="L100" i="31" s="1"/>
  <c r="N100" i="31" s="1"/>
  <c r="J101" i="31"/>
  <c r="L101" i="31" s="1"/>
  <c r="N101" i="31" s="1"/>
  <c r="J98" i="31"/>
  <c r="L98" i="31" s="1"/>
  <c r="N98" i="31" s="1"/>
  <c r="J99" i="31"/>
  <c r="L99" i="31" s="1"/>
  <c r="N99" i="31" s="1"/>
  <c r="E117" i="31"/>
  <c r="H117" i="31" s="1"/>
  <c r="L117" i="31" s="1"/>
  <c r="H60" i="31"/>
  <c r="E118" i="30"/>
  <c r="H118" i="30" s="1"/>
  <c r="L118" i="30" s="1"/>
  <c r="J106" i="30"/>
  <c r="L106" i="30" s="1"/>
  <c r="J104" i="30"/>
  <c r="L104" i="30" s="1"/>
  <c r="J105" i="30"/>
  <c r="L105" i="30" s="1"/>
  <c r="J103" i="30"/>
  <c r="L103" i="30" s="1"/>
  <c r="P30" i="30"/>
  <c r="J101" i="30"/>
  <c r="L101" i="30" s="1"/>
  <c r="N101" i="30" s="1"/>
  <c r="J100" i="30"/>
  <c r="L100" i="30" s="1"/>
  <c r="N100" i="30" s="1"/>
  <c r="J99" i="30"/>
  <c r="L99" i="30" s="1"/>
  <c r="J98" i="30"/>
  <c r="L98" i="30" s="1"/>
  <c r="N98" i="30" s="1"/>
  <c r="E117" i="30"/>
  <c r="H117" i="30" s="1"/>
  <c r="L117" i="30" s="1"/>
  <c r="H160" i="26"/>
  <c r="N126" i="31" l="1"/>
  <c r="N125" i="30"/>
  <c r="N126" i="30" s="1"/>
  <c r="N117" i="30"/>
  <c r="N104" i="30"/>
  <c r="N117" i="31"/>
  <c r="N105" i="31"/>
  <c r="N106" i="30"/>
  <c r="N104" i="31"/>
  <c r="N103" i="30"/>
  <c r="N118" i="30"/>
  <c r="N103" i="31"/>
  <c r="N105" i="30"/>
  <c r="N106" i="31"/>
  <c r="B23" i="38"/>
  <c r="P28" i="31"/>
  <c r="Q28" i="31" s="1"/>
  <c r="Q30" i="31"/>
  <c r="P29" i="31"/>
  <c r="Q29" i="31" s="1"/>
  <c r="R29" i="31" s="1"/>
  <c r="P27" i="31"/>
  <c r="Q27" i="31" s="1"/>
  <c r="R27" i="31" s="1"/>
  <c r="P31" i="31"/>
  <c r="Q31" i="31" s="1"/>
  <c r="R31" i="31" s="1"/>
  <c r="C123" i="31"/>
  <c r="F109" i="42" s="1"/>
  <c r="C125" i="31"/>
  <c r="F111" i="42" s="1"/>
  <c r="H122" i="31"/>
  <c r="E6" i="38" s="1"/>
  <c r="E118" i="31"/>
  <c r="H118" i="31" s="1"/>
  <c r="L118" i="31" s="1"/>
  <c r="F108" i="26"/>
  <c r="N99" i="30"/>
  <c r="F101" i="26"/>
  <c r="H122" i="30"/>
  <c r="E5" i="38" s="1"/>
  <c r="C123" i="30"/>
  <c r="F102" i="42" s="1"/>
  <c r="Q30" i="30"/>
  <c r="Q55" i="30" s="1"/>
  <c r="Q54" i="30" s="1"/>
  <c r="P28" i="30"/>
  <c r="Q28" i="30" s="1"/>
  <c r="Q57" i="30" s="1"/>
  <c r="Q56" i="30" s="1"/>
  <c r="P31" i="30"/>
  <c r="Q31" i="30" s="1"/>
  <c r="R31" i="30" s="1"/>
  <c r="P29" i="30"/>
  <c r="Q29" i="30" s="1"/>
  <c r="R29" i="30" s="1"/>
  <c r="P27" i="30"/>
  <c r="Q27" i="30" s="1"/>
  <c r="R27" i="30" s="1"/>
  <c r="G94" i="26"/>
  <c r="G93" i="26"/>
  <c r="I92" i="26"/>
  <c r="G92" i="26"/>
  <c r="D92" i="26"/>
  <c r="I95" i="26"/>
  <c r="D95" i="26"/>
  <c r="N119" i="30" l="1"/>
  <c r="R93" i="30" s="1"/>
  <c r="N118" i="31"/>
  <c r="N119" i="31" s="1"/>
  <c r="I122" i="30"/>
  <c r="J101" i="42" s="1"/>
  <c r="F111" i="26"/>
  <c r="C124" i="31"/>
  <c r="F110" i="42" s="1"/>
  <c r="F109" i="26"/>
  <c r="Q55" i="31"/>
  <c r="Q54" i="31" s="1"/>
  <c r="R30" i="31"/>
  <c r="H123" i="31"/>
  <c r="I122" i="31"/>
  <c r="J108" i="42" s="1"/>
  <c r="Q57" i="31"/>
  <c r="Q56" i="31" s="1"/>
  <c r="R28" i="31"/>
  <c r="F102" i="26"/>
  <c r="F104" i="26"/>
  <c r="R30" i="30"/>
  <c r="H123" i="30"/>
  <c r="R28" i="30"/>
  <c r="C124" i="30"/>
  <c r="F103" i="42" s="1"/>
  <c r="N15" i="22"/>
  <c r="J3" i="42" s="1"/>
  <c r="J81" i="42" l="1"/>
  <c r="J120" i="42"/>
  <c r="J38" i="42"/>
  <c r="J3" i="41"/>
  <c r="N120" i="30"/>
  <c r="R118" i="30"/>
  <c r="R117" i="30"/>
  <c r="R103" i="30"/>
  <c r="R105" i="30"/>
  <c r="R104" i="30"/>
  <c r="N121" i="30"/>
  <c r="R106" i="30"/>
  <c r="R110" i="30"/>
  <c r="R112" i="30"/>
  <c r="R98" i="30"/>
  <c r="R90" i="30"/>
  <c r="R95" i="30"/>
  <c r="R116" i="30"/>
  <c r="R100" i="30"/>
  <c r="R109" i="30"/>
  <c r="R89" i="30"/>
  <c r="R111" i="30"/>
  <c r="R94" i="30"/>
  <c r="R99" i="30"/>
  <c r="R101" i="30"/>
  <c r="R108" i="30"/>
  <c r="R95" i="31"/>
  <c r="R98" i="31"/>
  <c r="R108" i="31"/>
  <c r="R112" i="31"/>
  <c r="R99" i="31"/>
  <c r="R109" i="31"/>
  <c r="R94" i="31"/>
  <c r="R100" i="31"/>
  <c r="R101" i="31"/>
  <c r="R111" i="31"/>
  <c r="R93" i="31"/>
  <c r="N121" i="31"/>
  <c r="R116" i="31"/>
  <c r="R90" i="31"/>
  <c r="R110" i="31"/>
  <c r="R89" i="31"/>
  <c r="R117" i="31"/>
  <c r="R103" i="31"/>
  <c r="R106" i="31"/>
  <c r="R105" i="31"/>
  <c r="R104" i="31"/>
  <c r="R118" i="31"/>
  <c r="B16" i="38"/>
  <c r="B17" i="38" s="1"/>
  <c r="J101" i="26"/>
  <c r="B21" i="38"/>
  <c r="B22" i="38" s="1"/>
  <c r="I123" i="31"/>
  <c r="J109" i="42" s="1"/>
  <c r="H124" i="31"/>
  <c r="J3" i="26"/>
  <c r="J81" i="26" s="1"/>
  <c r="F110" i="26"/>
  <c r="J108" i="26"/>
  <c r="F103" i="26"/>
  <c r="H124" i="30"/>
  <c r="I123" i="30"/>
  <c r="J102" i="42" s="1"/>
  <c r="J38" i="41" l="1"/>
  <c r="J72" i="41"/>
  <c r="R119" i="31"/>
  <c r="I124" i="31"/>
  <c r="J110" i="42" s="1"/>
  <c r="H125" i="31"/>
  <c r="J109" i="26"/>
  <c r="J38" i="26"/>
  <c r="J120" i="26"/>
  <c r="J102" i="26"/>
  <c r="I124" i="30"/>
  <c r="J103" i="42" s="1"/>
  <c r="H125" i="30"/>
  <c r="J110" i="26" l="1"/>
  <c r="I125" i="30"/>
  <c r="J104" i="42" s="1"/>
  <c r="I125" i="31"/>
  <c r="J111" i="42" s="1"/>
  <c r="J103" i="26"/>
  <c r="O163" i="22"/>
  <c r="O162" i="22"/>
  <c r="O161" i="22"/>
  <c r="O160" i="22"/>
  <c r="O159" i="22"/>
  <c r="N163" i="22"/>
  <c r="N162" i="22"/>
  <c r="N161" i="22"/>
  <c r="N160" i="22"/>
  <c r="N159" i="22"/>
  <c r="M163" i="22"/>
  <c r="M162" i="22"/>
  <c r="M161" i="22"/>
  <c r="M160" i="22"/>
  <c r="M159" i="22"/>
  <c r="L163" i="22"/>
  <c r="L162" i="22"/>
  <c r="L161" i="22"/>
  <c r="L160" i="22"/>
  <c r="L159" i="22"/>
  <c r="J159" i="22"/>
  <c r="K163" i="22"/>
  <c r="K162" i="22"/>
  <c r="K161" i="22"/>
  <c r="K160" i="22"/>
  <c r="K159" i="22"/>
  <c r="J163" i="22"/>
  <c r="J162" i="22"/>
  <c r="J161" i="22"/>
  <c r="J160" i="22"/>
  <c r="F163" i="22"/>
  <c r="F162" i="22"/>
  <c r="F161" i="22"/>
  <c r="F160" i="22"/>
  <c r="F159" i="22"/>
  <c r="E163" i="22"/>
  <c r="E162" i="22"/>
  <c r="E161" i="22"/>
  <c r="E160" i="22"/>
  <c r="E159" i="22"/>
  <c r="D163" i="22"/>
  <c r="D162" i="22"/>
  <c r="D161" i="22"/>
  <c r="D160" i="22"/>
  <c r="D159" i="22"/>
  <c r="J111" i="26" l="1"/>
  <c r="J104" i="26"/>
  <c r="R101" i="22"/>
  <c r="I161" i="22" s="1"/>
  <c r="Q101" i="22"/>
  <c r="H161" i="22" s="1"/>
  <c r="P101" i="22"/>
  <c r="G161" i="22" s="1"/>
  <c r="R90" i="22"/>
  <c r="I160" i="22" s="1"/>
  <c r="Q90" i="22"/>
  <c r="H160" i="22" s="1"/>
  <c r="P90" i="22"/>
  <c r="G160" i="22" s="1"/>
  <c r="P79" i="22"/>
  <c r="G163" i="22" s="1"/>
  <c r="R79" i="22"/>
  <c r="I163" i="22" s="1"/>
  <c r="Q79" i="22"/>
  <c r="H163" i="22" s="1"/>
  <c r="R68" i="22"/>
  <c r="I162" i="22" s="1"/>
  <c r="Q68" i="22"/>
  <c r="H162" i="22" s="1"/>
  <c r="P68" i="22"/>
  <c r="G162" i="22" s="1"/>
  <c r="I159" i="22"/>
  <c r="Q58" i="22"/>
  <c r="H159" i="22" s="1"/>
  <c r="P58" i="22"/>
  <c r="G159" i="22" s="1"/>
  <c r="C163" i="22"/>
  <c r="C162" i="22"/>
  <c r="C161" i="22"/>
  <c r="C160" i="22"/>
  <c r="C159" i="22"/>
  <c r="B163" i="22"/>
  <c r="B162" i="22"/>
  <c r="B160" i="22"/>
  <c r="B161" i="22"/>
  <c r="B159" i="22"/>
  <c r="F157" i="22"/>
  <c r="E157" i="22"/>
  <c r="D157" i="22"/>
  <c r="C157" i="22"/>
  <c r="L12" i="35" l="1"/>
  <c r="W28" i="22" s="1"/>
  <c r="L11" i="35"/>
  <c r="V28" i="22" s="1"/>
  <c r="K12" i="35"/>
  <c r="U28" i="22" s="1"/>
  <c r="K11" i="35"/>
  <c r="T28" i="22" s="1"/>
  <c r="F12" i="35"/>
  <c r="W27" i="22" s="1"/>
  <c r="E12" i="35"/>
  <c r="U27" i="22" s="1"/>
  <c r="F77" i="42" s="1"/>
  <c r="F11" i="35"/>
  <c r="V27" i="22" s="1"/>
  <c r="G77" i="42" s="1"/>
  <c r="E11" i="35"/>
  <c r="T27" i="22" s="1"/>
  <c r="E77" i="42" s="1"/>
  <c r="J12" i="35"/>
  <c r="S28" i="22" s="1"/>
  <c r="J11" i="35"/>
  <c r="R28" i="22" s="1"/>
  <c r="D12" i="35"/>
  <c r="S27" i="22" s="1"/>
  <c r="D77" i="42" s="1"/>
  <c r="D11" i="35"/>
  <c r="R27" i="22" s="1"/>
  <c r="C77" i="42" s="1"/>
  <c r="P38" i="31"/>
  <c r="P39" i="31"/>
  <c r="P37" i="31"/>
  <c r="P37" i="30"/>
  <c r="P38" i="30"/>
  <c r="P39" i="30"/>
  <c r="L19" i="18"/>
  <c r="L20" i="18"/>
  <c r="L21" i="18"/>
  <c r="H77" i="42" l="1"/>
  <c r="H77" i="26"/>
  <c r="C77" i="26"/>
  <c r="E77" i="26"/>
  <c r="D77" i="26"/>
  <c r="G77" i="26"/>
  <c r="F77" i="26"/>
  <c r="P3" i="18"/>
  <c r="J3" i="18"/>
  <c r="G3" i="18"/>
  <c r="D3" i="18"/>
  <c r="B3" i="18"/>
  <c r="E29" i="26" l="1"/>
  <c r="D8" i="26"/>
  <c r="D7" i="26"/>
  <c r="D6" i="26"/>
  <c r="M26" i="22" l="1"/>
  <c r="G44" i="18" l="1"/>
  <c r="K21" i="18" l="1"/>
  <c r="E43" i="18"/>
  <c r="G43" i="18"/>
  <c r="D12" i="18"/>
  <c r="K28" i="18" s="1"/>
  <c r="J44" i="18" s="1"/>
  <c r="R11" i="18"/>
  <c r="I43" i="18"/>
  <c r="E44" i="18"/>
  <c r="Q11" i="18"/>
  <c r="C160" i="26"/>
  <c r="C159" i="26"/>
  <c r="C110" i="26"/>
  <c r="I94" i="26"/>
  <c r="I93" i="26"/>
  <c r="D94" i="26"/>
  <c r="D93" i="26"/>
  <c r="E17" i="26"/>
  <c r="E21" i="26"/>
  <c r="E16" i="26"/>
  <c r="E15" i="26"/>
  <c r="J7" i="18"/>
  <c r="I19" i="18"/>
  <c r="K22" i="18" s="1"/>
  <c r="I20" i="18"/>
  <c r="J22" i="18" s="1"/>
  <c r="J21" i="18"/>
  <c r="K25" i="22"/>
  <c r="D34" i="31" s="1"/>
  <c r="E115" i="31" s="1"/>
  <c r="H115" i="31" s="1"/>
  <c r="L115" i="31" s="1"/>
  <c r="K26" i="22"/>
  <c r="E47" i="18"/>
  <c r="G48" i="18"/>
  <c r="J47" i="18"/>
  <c r="I45" i="18"/>
  <c r="I49" i="18" s="1"/>
  <c r="G47" i="18"/>
  <c r="H47" i="18" s="1"/>
  <c r="J45" i="18"/>
  <c r="G45" i="18"/>
  <c r="E45" i="18"/>
  <c r="I44" i="18"/>
  <c r="F19" i="18"/>
  <c r="F20" i="18"/>
  <c r="V20" i="18"/>
  <c r="V19" i="18"/>
  <c r="V18" i="18"/>
  <c r="D44" i="18" s="1"/>
  <c r="I12" i="18"/>
  <c r="N115" i="31" l="1"/>
  <c r="R115" i="31"/>
  <c r="L47" i="18"/>
  <c r="N47" i="18" s="1"/>
  <c r="O125" i="31"/>
  <c r="D34" i="30"/>
  <c r="E115" i="30" s="1"/>
  <c r="H115" i="30" s="1"/>
  <c r="L115" i="30" s="1"/>
  <c r="H45" i="18"/>
  <c r="L45" i="18" s="1"/>
  <c r="N45" i="18" s="1"/>
  <c r="A108" i="26"/>
  <c r="I48" i="18"/>
  <c r="J19" i="18"/>
  <c r="K20" i="18" s="1"/>
  <c r="I47" i="18"/>
  <c r="C108" i="26"/>
  <c r="F115" i="26" s="1"/>
  <c r="P20" i="18"/>
  <c r="P21" i="18"/>
  <c r="C22" i="18"/>
  <c r="C21" i="18"/>
  <c r="E48" i="18" s="1"/>
  <c r="H48" i="18" s="1"/>
  <c r="L48" i="18" s="1"/>
  <c r="N48" i="18" s="1"/>
  <c r="O18" i="18"/>
  <c r="M20" i="18" s="1"/>
  <c r="T12" i="18" s="1"/>
  <c r="U12" i="18" s="1"/>
  <c r="V12" i="18" s="1"/>
  <c r="K26" i="18"/>
  <c r="K30" i="18"/>
  <c r="K32" i="18" s="1"/>
  <c r="H43" i="18"/>
  <c r="D43" i="18"/>
  <c r="N115" i="30" l="1"/>
  <c r="R115" i="30"/>
  <c r="R119" i="30" s="1"/>
  <c r="D122" i="31"/>
  <c r="N120" i="31"/>
  <c r="F31" i="31"/>
  <c r="O125" i="30"/>
  <c r="I15" i="22"/>
  <c r="F32" i="31" s="1"/>
  <c r="D122" i="30"/>
  <c r="F31" i="30"/>
  <c r="G32" i="22"/>
  <c r="G31" i="22"/>
  <c r="I25" i="22"/>
  <c r="D32" i="31" s="1"/>
  <c r="C109" i="26"/>
  <c r="Q21" i="18"/>
  <c r="H44" i="18" s="1"/>
  <c r="L44" i="18" s="1"/>
  <c r="N44" i="18" s="1"/>
  <c r="M19" i="18"/>
  <c r="T11" i="18" s="1"/>
  <c r="U11" i="18" s="1"/>
  <c r="V11" i="18" s="1"/>
  <c r="M21" i="18"/>
  <c r="T13" i="18" s="1"/>
  <c r="U13" i="18" s="1"/>
  <c r="V13" i="18" s="1"/>
  <c r="L43" i="18"/>
  <c r="N43" i="18" s="1"/>
  <c r="E7" i="31" l="1"/>
  <c r="E7" i="30"/>
  <c r="F122" i="31"/>
  <c r="H108" i="42" s="1"/>
  <c r="D123" i="31"/>
  <c r="M124" i="31"/>
  <c r="N124" i="31"/>
  <c r="D123" i="30"/>
  <c r="F122" i="30"/>
  <c r="H101" i="42" s="1"/>
  <c r="D32" i="30"/>
  <c r="N124" i="30"/>
  <c r="M124" i="30"/>
  <c r="F32" i="30"/>
  <c r="I26" i="22"/>
  <c r="U15" i="18"/>
  <c r="U16" i="18" s="1"/>
  <c r="U14" i="18"/>
  <c r="D42" i="18" s="1"/>
  <c r="V15" i="18"/>
  <c r="V16" i="18" s="1"/>
  <c r="H49" i="18" s="1"/>
  <c r="L49" i="18" s="1"/>
  <c r="N49" i="18" s="1"/>
  <c r="N50" i="18" s="1"/>
  <c r="V14" i="18"/>
  <c r="C56" i="18" s="1"/>
  <c r="C127" i="42" s="1"/>
  <c r="H101" i="26" l="1"/>
  <c r="F5" i="38" s="1"/>
  <c r="G7" i="38" s="1"/>
  <c r="F123" i="31"/>
  <c r="H109" i="42" s="1"/>
  <c r="D124" i="31"/>
  <c r="H108" i="26"/>
  <c r="F6" i="38" s="1"/>
  <c r="J122" i="31"/>
  <c r="D124" i="30"/>
  <c r="F123" i="30"/>
  <c r="H102" i="42" s="1"/>
  <c r="J122" i="30"/>
  <c r="F121" i="26"/>
  <c r="C57" i="18"/>
  <c r="C128" i="42" s="1"/>
  <c r="C127" i="26"/>
  <c r="D56" i="18"/>
  <c r="F56" i="18" s="1"/>
  <c r="F127" i="42" s="1"/>
  <c r="N53" i="18"/>
  <c r="G5" i="38" l="1"/>
  <c r="H5" i="38" s="1"/>
  <c r="H102" i="26"/>
  <c r="D125" i="30"/>
  <c r="F125" i="30" s="1"/>
  <c r="H104" i="42" s="1"/>
  <c r="H7" i="38"/>
  <c r="I7" i="38" s="1"/>
  <c r="G11" i="38"/>
  <c r="H11" i="38" s="1"/>
  <c r="G13" i="38"/>
  <c r="H13" i="38" s="1"/>
  <c r="I13" i="38" s="1"/>
  <c r="D125" i="31"/>
  <c r="F125" i="31" s="1"/>
  <c r="H111" i="42" s="1"/>
  <c r="F124" i="31"/>
  <c r="H110" i="42" s="1"/>
  <c r="H109" i="26"/>
  <c r="J123" i="31"/>
  <c r="F124" i="30"/>
  <c r="H103" i="42" s="1"/>
  <c r="J123" i="30"/>
  <c r="D57" i="18"/>
  <c r="D58" i="18" s="1"/>
  <c r="C128" i="26"/>
  <c r="C58" i="18"/>
  <c r="C129" i="42" s="1"/>
  <c r="F127" i="26"/>
  <c r="P53" i="18"/>
  <c r="O53" i="18"/>
  <c r="N51" i="18" s="1"/>
  <c r="I5" i="38" l="1"/>
  <c r="K101" i="26" s="1"/>
  <c r="H103" i="26"/>
  <c r="H104" i="26"/>
  <c r="H111" i="26"/>
  <c r="I11" i="38"/>
  <c r="K108" i="26" s="1"/>
  <c r="H110" i="26"/>
  <c r="J124" i="31"/>
  <c r="J125" i="31" s="1"/>
  <c r="J124" i="30"/>
  <c r="J125" i="30" s="1"/>
  <c r="C129" i="26"/>
  <c r="F57" i="18"/>
  <c r="F128" i="42" s="1"/>
  <c r="K101" i="42" l="1"/>
  <c r="K108" i="42"/>
  <c r="G8" i="38"/>
  <c r="G14" i="38"/>
  <c r="F58" i="18"/>
  <c r="F129" i="42" s="1"/>
  <c r="F128" i="26"/>
  <c r="F129" i="2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STIVINSON</author>
    <author>tc={F4C78DFD-55AB-4778-B6B3-60BA6BB83573}</author>
  </authors>
  <commentList>
    <comment ref="M29" authorId="0" shapeId="0" xr:uid="{00000000-0006-0000-0000-000001000000}">
      <text>
        <r>
          <rPr>
            <b/>
            <sz val="9"/>
            <color indexed="81"/>
            <rFont val="Tahoma"/>
            <family val="2"/>
          </rPr>
          <t xml:space="preserve">CERTIFICADO: INM RVP # 5053 - 2020-12-17 </t>
        </r>
        <r>
          <rPr>
            <sz val="9"/>
            <color indexed="81"/>
            <rFont val="Tahoma"/>
            <family val="2"/>
          </rPr>
          <t xml:space="preserve">
</t>
        </r>
      </text>
    </comment>
    <comment ref="N29" authorId="0" shapeId="0" xr:uid="{00000000-0006-0000-0000-000002000000}">
      <text>
        <r>
          <rPr>
            <b/>
            <sz val="9"/>
            <color indexed="81"/>
            <rFont val="Tahoma"/>
            <family val="2"/>
          </rPr>
          <t>CERTIFICADO: INM RVP # 3688 2018-11-02 INM RVT # 3692 2018-11-06</t>
        </r>
        <r>
          <rPr>
            <sz val="9"/>
            <color indexed="81"/>
            <rFont val="Tahoma"/>
            <family val="2"/>
          </rPr>
          <t xml:space="preserve">
</t>
        </r>
      </text>
    </comment>
    <comment ref="Q36" authorId="1" shapeId="0" xr:uid="{00000000-0006-0000-0000-000003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Puntos de calibración anterior 2019</t>
      </text>
    </comment>
    <comment ref="N111" authorId="0" shapeId="0" xr:uid="{00000000-0006-0000-0000-000004000000}">
      <text>
        <r>
          <rPr>
            <sz val="9"/>
            <color indexed="81"/>
            <rFont val="Tahoma"/>
            <family val="2"/>
          </rPr>
          <t>punto de calibración al 10% según certificado</t>
        </r>
      </text>
    </comment>
    <comment ref="O111" authorId="0" shapeId="0" xr:uid="{00000000-0006-0000-0000-000005000000}">
      <text>
        <r>
          <rPr>
            <b/>
            <sz val="9"/>
            <color indexed="81"/>
            <rFont val="Tahoma"/>
            <family val="2"/>
          </rPr>
          <t>punto de calibración al 10% según certificado</t>
        </r>
        <r>
          <rPr>
            <sz val="9"/>
            <color indexed="81"/>
            <rFont val="Tahoma"/>
            <family val="2"/>
          </rPr>
          <t xml:space="preserve">
</t>
        </r>
      </text>
    </comment>
    <comment ref="Q111" authorId="0" shapeId="0" xr:uid="{00000000-0006-0000-0000-000006000000}">
      <text>
        <r>
          <rPr>
            <b/>
            <sz val="9"/>
            <color indexed="81"/>
            <rFont val="Tahoma"/>
            <family val="2"/>
          </rPr>
          <t>punto de calibración al 50% según certificado</t>
        </r>
        <r>
          <rPr>
            <sz val="9"/>
            <color indexed="81"/>
            <rFont val="Tahoma"/>
            <family val="2"/>
          </rPr>
          <t xml:space="preserve">
</t>
        </r>
      </text>
    </comment>
    <comment ref="R111" authorId="0" shapeId="0" xr:uid="{00000000-0006-0000-0000-000007000000}">
      <text>
        <r>
          <rPr>
            <b/>
            <sz val="9"/>
            <color indexed="81"/>
            <rFont val="Tahoma"/>
            <family val="2"/>
          </rPr>
          <t>punto de calibración al 50% según certificado</t>
        </r>
        <r>
          <rPr>
            <sz val="9"/>
            <color indexed="81"/>
            <rFont val="Tahoma"/>
            <family val="2"/>
          </rPr>
          <t xml:space="preserve">
</t>
        </r>
      </text>
    </comment>
    <comment ref="T111" authorId="0" shapeId="0" xr:uid="{00000000-0006-0000-0000-000008000000}">
      <text>
        <r>
          <rPr>
            <b/>
            <sz val="9"/>
            <color indexed="81"/>
            <rFont val="Tahoma"/>
            <family val="2"/>
          </rPr>
          <t>punto de calibración al 100% según certificado</t>
        </r>
        <r>
          <rPr>
            <sz val="9"/>
            <color indexed="81"/>
            <rFont val="Tahoma"/>
            <family val="2"/>
          </rPr>
          <t xml:space="preserve">
</t>
        </r>
      </text>
    </comment>
    <comment ref="U111" authorId="0" shapeId="0" xr:uid="{00000000-0006-0000-0000-000009000000}">
      <text>
        <r>
          <rPr>
            <b/>
            <sz val="9"/>
            <color indexed="81"/>
            <rFont val="Tahoma"/>
            <family val="2"/>
          </rPr>
          <t>punto de calibración al 100% según certificado</t>
        </r>
        <r>
          <rPr>
            <sz val="9"/>
            <color indexed="81"/>
            <rFont val="Tahoma"/>
            <family val="2"/>
          </rPr>
          <t xml:space="preserve">
</t>
        </r>
      </text>
    </comment>
    <comment ref="R120" authorId="0" shapeId="0" xr:uid="{00000000-0006-0000-0000-00000A000000}">
      <text>
        <r>
          <rPr>
            <sz val="9"/>
            <color indexed="81"/>
            <rFont val="Tahoma"/>
            <family val="2"/>
          </rPr>
          <t>punto de calibración al 10% según certificado</t>
        </r>
      </text>
    </comment>
    <comment ref="S120" authorId="0" shapeId="0" xr:uid="{00000000-0006-0000-0000-00000B000000}">
      <text>
        <r>
          <rPr>
            <b/>
            <sz val="9"/>
            <color indexed="81"/>
            <rFont val="Tahoma"/>
            <family val="2"/>
          </rPr>
          <t>punto de calibración al 10% según certificado</t>
        </r>
        <r>
          <rPr>
            <sz val="9"/>
            <color indexed="81"/>
            <rFont val="Tahoma"/>
            <family val="2"/>
          </rPr>
          <t xml:space="preserve">
</t>
        </r>
      </text>
    </comment>
    <comment ref="U120" authorId="0" shapeId="0" xr:uid="{00000000-0006-0000-0000-00000C000000}">
      <text>
        <r>
          <rPr>
            <b/>
            <sz val="9"/>
            <color indexed="81"/>
            <rFont val="Tahoma"/>
            <family val="2"/>
          </rPr>
          <t>punto de calibración al 50% según certificado</t>
        </r>
        <r>
          <rPr>
            <sz val="9"/>
            <color indexed="81"/>
            <rFont val="Tahoma"/>
            <family val="2"/>
          </rPr>
          <t xml:space="preserve">
</t>
        </r>
      </text>
    </comment>
    <comment ref="V120" authorId="0" shapeId="0" xr:uid="{00000000-0006-0000-0000-00000D000000}">
      <text>
        <r>
          <rPr>
            <b/>
            <sz val="9"/>
            <color indexed="81"/>
            <rFont val="Tahoma"/>
            <family val="2"/>
          </rPr>
          <t>punto de calibración al 50% según certificado</t>
        </r>
        <r>
          <rPr>
            <sz val="9"/>
            <color indexed="81"/>
            <rFont val="Tahoma"/>
            <family val="2"/>
          </rPr>
          <t xml:space="preserve">
</t>
        </r>
      </text>
    </comment>
    <comment ref="X120" authorId="0" shapeId="0" xr:uid="{00000000-0006-0000-0000-00000E000000}">
      <text>
        <r>
          <rPr>
            <b/>
            <sz val="9"/>
            <color indexed="81"/>
            <rFont val="Tahoma"/>
            <family val="2"/>
          </rPr>
          <t>punto de calibración al 100% según certificado</t>
        </r>
        <r>
          <rPr>
            <sz val="9"/>
            <color indexed="81"/>
            <rFont val="Tahoma"/>
            <family val="2"/>
          </rPr>
          <t xml:space="preserve">
</t>
        </r>
      </text>
    </comment>
    <comment ref="Y120" authorId="0" shapeId="0" xr:uid="{00000000-0006-0000-0000-00000F000000}">
      <text>
        <r>
          <rPr>
            <b/>
            <sz val="9"/>
            <color indexed="81"/>
            <rFont val="Tahoma"/>
            <family val="2"/>
          </rPr>
          <t>punto de calibración al 100% según certificado</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STIVINSON</author>
  </authors>
  <commentList>
    <comment ref="B66" authorId="0" shapeId="0" xr:uid="{00000000-0006-0000-0100-000001000000}">
      <text>
        <r>
          <rPr>
            <b/>
            <sz val="9"/>
            <color indexed="81"/>
            <rFont val="Tahoma"/>
            <family val="2"/>
          </rPr>
          <t>ecuación 15 Euramet cg-21</t>
        </r>
        <r>
          <rPr>
            <sz val="9"/>
            <color indexed="81"/>
            <rFont val="Tahoma"/>
            <family val="2"/>
          </rPr>
          <t xml:space="preserve">
</t>
        </r>
      </text>
    </comment>
    <comment ref="B68" authorId="0" shapeId="0" xr:uid="{00000000-0006-0000-0100-000002000000}">
      <text>
        <r>
          <rPr>
            <b/>
            <sz val="9"/>
            <color indexed="81"/>
            <rFont val="Tahoma"/>
            <family val="2"/>
          </rPr>
          <t xml:space="preserve">ecuación 16  Euramet cg-21
</t>
        </r>
        <r>
          <rPr>
            <sz val="9"/>
            <color indexed="81"/>
            <rFont val="Tahoma"/>
            <family val="2"/>
          </rPr>
          <t xml:space="preserve">
</t>
        </r>
      </text>
    </comment>
    <comment ref="B70" authorId="0" shapeId="0" xr:uid="{00000000-0006-0000-0100-000003000000}">
      <text>
        <r>
          <rPr>
            <b/>
            <sz val="9"/>
            <color indexed="81"/>
            <rFont val="Tahoma"/>
            <family val="2"/>
          </rPr>
          <t xml:space="preserve">ecuación 17 Euramet cg-21
</t>
        </r>
      </text>
    </comment>
    <comment ref="B72" authorId="0" shapeId="0" xr:uid="{00000000-0006-0000-0100-000004000000}">
      <text>
        <r>
          <rPr>
            <b/>
            <sz val="9"/>
            <color indexed="81"/>
            <rFont val="Tahoma"/>
            <family val="2"/>
          </rPr>
          <t xml:space="preserve">ecuación 18 Euramet cg-21
</t>
        </r>
      </text>
    </comment>
    <comment ref="B74" authorId="0" shapeId="0" xr:uid="{00000000-0006-0000-0100-000005000000}">
      <text>
        <r>
          <rPr>
            <b/>
            <sz val="9"/>
            <color indexed="81"/>
            <rFont val="Tahoma"/>
            <family val="2"/>
          </rPr>
          <t xml:space="preserve">ecuación 19 Euramet cg-21
</t>
        </r>
      </text>
    </comment>
    <comment ref="B76" authorId="0" shapeId="0" xr:uid="{00000000-0006-0000-0100-000006000000}">
      <text>
        <r>
          <rPr>
            <b/>
            <sz val="9"/>
            <color indexed="81"/>
            <rFont val="Tahoma"/>
            <family val="2"/>
          </rPr>
          <t xml:space="preserve">ecuación 20 Euramet cg-21
</t>
        </r>
      </text>
    </comment>
    <comment ref="B78" authorId="0" shapeId="0" xr:uid="{00000000-0006-0000-0100-000007000000}">
      <text>
        <r>
          <rPr>
            <b/>
            <sz val="9"/>
            <color indexed="81"/>
            <rFont val="Tahoma"/>
            <family val="2"/>
          </rPr>
          <t xml:space="preserve">ecuación 21 Euramet cg-21
</t>
        </r>
      </text>
    </comment>
    <comment ref="B80" authorId="0" shapeId="0" xr:uid="{00000000-0006-0000-0100-000008000000}">
      <text>
        <r>
          <rPr>
            <b/>
            <sz val="9"/>
            <color indexed="81"/>
            <rFont val="Tahoma"/>
            <family val="2"/>
          </rPr>
          <t xml:space="preserve">ecuación 22 Euramet cg-21
</t>
        </r>
      </text>
    </comment>
    <comment ref="B82" authorId="0" shapeId="0" xr:uid="{00000000-0006-0000-0100-000009000000}">
      <text>
        <r>
          <rPr>
            <b/>
            <sz val="9"/>
            <color indexed="81"/>
            <rFont val="Tahoma"/>
            <family val="2"/>
          </rPr>
          <t xml:space="preserve">ecuación 23 Euramet cg-21
</t>
        </r>
      </text>
    </comment>
    <comment ref="B89" authorId="0" shapeId="0" xr:uid="{00000000-0006-0000-0100-00000A000000}">
      <text>
        <r>
          <rPr>
            <b/>
            <sz val="9"/>
            <color indexed="81"/>
            <rFont val="Tahoma"/>
            <family val="2"/>
          </rPr>
          <t>numeral: 6.3.3.1 ecuación (5)</t>
        </r>
        <r>
          <rPr>
            <sz val="9"/>
            <color indexed="81"/>
            <rFont val="Tahoma"/>
            <family val="2"/>
          </rPr>
          <t xml:space="preserve">
Euramet cg-21</t>
        </r>
      </text>
    </comment>
    <comment ref="B90" authorId="0" shapeId="0" xr:uid="{00000000-0006-0000-0100-00000B000000}">
      <text>
        <r>
          <rPr>
            <b/>
            <sz val="9"/>
            <color indexed="81"/>
            <rFont val="Tahoma"/>
            <family val="2"/>
          </rPr>
          <t>numeral:6.3.3.1 ecuación (7)</t>
        </r>
        <r>
          <rPr>
            <sz val="9"/>
            <color indexed="81"/>
            <rFont val="Tahoma"/>
            <family val="2"/>
          </rPr>
          <t xml:space="preserve">
Euramet cg-21</t>
        </r>
      </text>
    </comment>
    <comment ref="B97" authorId="0" shapeId="0" xr:uid="{00000000-0006-0000-0100-00000C000000}">
      <text>
        <r>
          <rPr>
            <b/>
            <sz val="9"/>
            <color indexed="81"/>
            <rFont val="Tahoma"/>
            <family val="2"/>
          </rPr>
          <t>Numeral:6.3.3.2</t>
        </r>
        <r>
          <rPr>
            <sz val="9"/>
            <color indexed="81"/>
            <rFont val="Tahoma"/>
            <family val="2"/>
          </rPr>
          <t xml:space="preserve">
Euramet cg-21</t>
        </r>
      </text>
    </comment>
    <comment ref="B98" authorId="0" shapeId="0" xr:uid="{00000000-0006-0000-0100-00000D000000}">
      <text>
        <r>
          <rPr>
            <b/>
            <sz val="9"/>
            <color indexed="81"/>
            <rFont val="Tahoma"/>
            <family val="2"/>
          </rPr>
          <t>numeral:6.3.3.2</t>
        </r>
        <r>
          <rPr>
            <sz val="9"/>
            <color indexed="81"/>
            <rFont val="Tahoma"/>
            <family val="2"/>
          </rPr>
          <t xml:space="preserve">
Euramet cg-21</t>
        </r>
      </text>
    </comment>
    <comment ref="B99" authorId="0" shapeId="0" xr:uid="{00000000-0006-0000-0100-00000E000000}">
      <text>
        <r>
          <rPr>
            <b/>
            <sz val="9"/>
            <color indexed="81"/>
            <rFont val="Tahoma"/>
            <family val="2"/>
          </rPr>
          <t>Numeral:6.3.3.2</t>
        </r>
        <r>
          <rPr>
            <sz val="9"/>
            <color indexed="81"/>
            <rFont val="Tahoma"/>
            <family val="2"/>
          </rPr>
          <t xml:space="preserve">
Euramet cg-21</t>
        </r>
      </text>
    </comment>
    <comment ref="B100" authorId="0" shapeId="0" xr:uid="{00000000-0006-0000-0100-00000F000000}">
      <text>
        <r>
          <rPr>
            <b/>
            <sz val="9"/>
            <color indexed="81"/>
            <rFont val="Tahoma"/>
            <family val="2"/>
          </rPr>
          <t>numeral:6.3.3.2</t>
        </r>
        <r>
          <rPr>
            <sz val="9"/>
            <color indexed="81"/>
            <rFont val="Tahoma"/>
            <family val="2"/>
          </rPr>
          <t xml:space="preserve">
Euramet cg-21</t>
        </r>
      </text>
    </comment>
    <comment ref="B101" authorId="0" shapeId="0" xr:uid="{00000000-0006-0000-0100-000010000000}">
      <text>
        <r>
          <rPr>
            <b/>
            <sz val="9"/>
            <color indexed="81"/>
            <rFont val="Tahoma"/>
            <family val="2"/>
          </rPr>
          <t>numeral:6.3.3.2</t>
        </r>
        <r>
          <rPr>
            <sz val="9"/>
            <color indexed="81"/>
            <rFont val="Tahoma"/>
            <family val="2"/>
          </rPr>
          <t xml:space="preserve">
Euramet cg-21</t>
        </r>
      </text>
    </comment>
    <comment ref="B102" authorId="0" shapeId="0" xr:uid="{00000000-0006-0000-0100-000011000000}">
      <text>
        <r>
          <rPr>
            <b/>
            <sz val="9"/>
            <color indexed="81"/>
            <rFont val="Tahoma"/>
            <family val="2"/>
          </rPr>
          <t>Numeral:6.3.3.3</t>
        </r>
        <r>
          <rPr>
            <sz val="9"/>
            <color indexed="81"/>
            <rFont val="Tahoma"/>
            <family val="2"/>
          </rPr>
          <t xml:space="preserve">
Euramet cg-21</t>
        </r>
      </text>
    </comment>
    <comment ref="B103" authorId="0" shapeId="0" xr:uid="{00000000-0006-0000-0100-000012000000}">
      <text>
        <r>
          <rPr>
            <b/>
            <sz val="9"/>
            <color indexed="81"/>
            <rFont val="Tahoma"/>
            <family val="2"/>
          </rPr>
          <t>numeral:6.3.3.3</t>
        </r>
        <r>
          <rPr>
            <sz val="9"/>
            <color indexed="81"/>
            <rFont val="Tahoma"/>
            <family val="2"/>
          </rPr>
          <t xml:space="preserve">
Euramet cg-21</t>
        </r>
      </text>
    </comment>
    <comment ref="B104" authorId="0" shapeId="0" xr:uid="{00000000-0006-0000-0100-000013000000}">
      <text>
        <r>
          <rPr>
            <b/>
            <sz val="9"/>
            <color indexed="81"/>
            <rFont val="Tahoma"/>
            <family val="2"/>
          </rPr>
          <t>numeral:6.3.3.3</t>
        </r>
        <r>
          <rPr>
            <sz val="9"/>
            <color indexed="81"/>
            <rFont val="Tahoma"/>
            <family val="2"/>
          </rPr>
          <t xml:space="preserve">
Euramet cg-21</t>
        </r>
      </text>
    </comment>
    <comment ref="B105" authorId="0" shapeId="0" xr:uid="{00000000-0006-0000-0100-000014000000}">
      <text>
        <r>
          <rPr>
            <b/>
            <sz val="9"/>
            <color indexed="81"/>
            <rFont val="Tahoma"/>
            <family val="2"/>
          </rPr>
          <t>numeral:6.3.3.3</t>
        </r>
        <r>
          <rPr>
            <sz val="9"/>
            <color indexed="81"/>
            <rFont val="Tahoma"/>
            <family val="2"/>
          </rPr>
          <t xml:space="preserve">
Euramet cg-21</t>
        </r>
      </text>
    </comment>
    <comment ref="B106" authorId="0" shapeId="0" xr:uid="{00000000-0006-0000-0100-000015000000}">
      <text>
        <r>
          <rPr>
            <b/>
            <sz val="9"/>
            <color indexed="81"/>
            <rFont val="Tahoma"/>
            <family val="2"/>
          </rPr>
          <t>numeral:6.3.3.3</t>
        </r>
        <r>
          <rPr>
            <sz val="9"/>
            <color indexed="81"/>
            <rFont val="Tahoma"/>
            <family val="2"/>
          </rPr>
          <t xml:space="preserve">
Euramet cg-21</t>
        </r>
      </text>
    </comment>
    <comment ref="B108" authorId="0" shapeId="0" xr:uid="{00000000-0006-0000-0100-000016000000}">
      <text>
        <r>
          <rPr>
            <b/>
            <sz val="9"/>
            <color indexed="81"/>
            <rFont val="Tahoma"/>
            <family val="2"/>
          </rPr>
          <t>numeral:6.3.3.5</t>
        </r>
        <r>
          <rPr>
            <sz val="9"/>
            <color indexed="81"/>
            <rFont val="Tahoma"/>
            <family val="2"/>
          </rPr>
          <t xml:space="preserve">
Euramet cg-21</t>
        </r>
      </text>
    </comment>
    <comment ref="B109" authorId="0" shapeId="0" xr:uid="{00000000-0006-0000-0100-000017000000}">
      <text>
        <r>
          <rPr>
            <b/>
            <sz val="9"/>
            <color indexed="81"/>
            <rFont val="Tahoma"/>
            <family val="2"/>
          </rPr>
          <t>numeral:6.3.3.4</t>
        </r>
        <r>
          <rPr>
            <sz val="9"/>
            <color indexed="81"/>
            <rFont val="Tahoma"/>
            <family val="2"/>
          </rPr>
          <t xml:space="preserve">
Euramet cg-21</t>
        </r>
      </text>
    </comment>
    <comment ref="B110" authorId="0" shapeId="0" xr:uid="{00000000-0006-0000-0100-000018000000}">
      <text>
        <r>
          <rPr>
            <b/>
            <sz val="9"/>
            <color indexed="81"/>
            <rFont val="Tahoma"/>
            <family val="2"/>
          </rPr>
          <t>numeral:6.3.3.4</t>
        </r>
        <r>
          <rPr>
            <sz val="9"/>
            <color indexed="81"/>
            <rFont val="Tahoma"/>
            <family val="2"/>
          </rPr>
          <t xml:space="preserve">
Euramet cg-21</t>
        </r>
      </text>
    </comment>
    <comment ref="B111" authorId="0" shapeId="0" xr:uid="{00000000-0006-0000-0100-000019000000}">
      <text>
        <r>
          <rPr>
            <b/>
            <sz val="9"/>
            <color indexed="81"/>
            <rFont val="Tahoma"/>
            <family val="2"/>
          </rPr>
          <t>numeral:6.3.3.4</t>
        </r>
        <r>
          <rPr>
            <sz val="9"/>
            <color indexed="81"/>
            <rFont val="Tahoma"/>
            <family val="2"/>
          </rPr>
          <t xml:space="preserve">
Euramet cg-21</t>
        </r>
      </text>
    </comment>
    <comment ref="B115" authorId="0" shapeId="0" xr:uid="{00000000-0006-0000-0100-00001A000000}">
      <text>
        <r>
          <rPr>
            <b/>
            <sz val="9"/>
            <color indexed="81"/>
            <rFont val="Tahoma"/>
            <family val="2"/>
          </rPr>
          <t>numeral:6.3.3.6</t>
        </r>
        <r>
          <rPr>
            <sz val="9"/>
            <color indexed="81"/>
            <rFont val="Tahoma"/>
            <family val="2"/>
          </rPr>
          <t xml:space="preserve">
Euramet cg-21</t>
        </r>
      </text>
    </comment>
    <comment ref="B116" authorId="0" shapeId="0" xr:uid="{00000000-0006-0000-0100-00001B000000}">
      <text>
        <r>
          <rPr>
            <b/>
            <sz val="9"/>
            <color indexed="81"/>
            <rFont val="Tahoma"/>
            <family val="2"/>
          </rPr>
          <t>numeral:6.3.3.6</t>
        </r>
        <r>
          <rPr>
            <sz val="9"/>
            <color indexed="81"/>
            <rFont val="Tahoma"/>
            <family val="2"/>
          </rPr>
          <t xml:space="preserve">
Euramet cg-21</t>
        </r>
      </text>
    </comment>
    <comment ref="B117" authorId="0" shapeId="0" xr:uid="{00000000-0006-0000-0100-00001C000000}">
      <text>
        <r>
          <rPr>
            <b/>
            <sz val="9"/>
            <color indexed="81"/>
            <rFont val="Tahoma"/>
            <family val="2"/>
          </rPr>
          <t>numeral:6.3.3.8</t>
        </r>
        <r>
          <rPr>
            <sz val="9"/>
            <color indexed="81"/>
            <rFont val="Tahoma"/>
            <family val="2"/>
          </rPr>
          <t xml:space="preserve">
Euramet cg-21</t>
        </r>
      </text>
    </comment>
    <comment ref="B118" authorId="0" shapeId="0" xr:uid="{00000000-0006-0000-0100-00001D000000}">
      <text>
        <r>
          <rPr>
            <b/>
            <sz val="9"/>
            <color indexed="81"/>
            <rFont val="Tahoma"/>
            <family val="2"/>
          </rPr>
          <t>numeral:6.3.3.9</t>
        </r>
        <r>
          <rPr>
            <sz val="9"/>
            <color indexed="81"/>
            <rFont val="Tahoma"/>
            <family val="2"/>
          </rPr>
          <t xml:space="preserve">
Euramet cg-21</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STIVINSON</author>
  </authors>
  <commentList>
    <comment ref="B89" authorId="0" shapeId="0" xr:uid="{00000000-0006-0000-0200-000001000000}">
      <text>
        <r>
          <rPr>
            <b/>
            <sz val="9"/>
            <color indexed="81"/>
            <rFont val="Tahoma"/>
            <family val="2"/>
          </rPr>
          <t>numeral: 6.3.3.1 ecuación (5)</t>
        </r>
        <r>
          <rPr>
            <sz val="9"/>
            <color indexed="81"/>
            <rFont val="Tahoma"/>
            <family val="2"/>
          </rPr>
          <t xml:space="preserve">
Euramet cg-21</t>
        </r>
      </text>
    </comment>
    <comment ref="B90" authorId="0" shapeId="0" xr:uid="{00000000-0006-0000-0200-000002000000}">
      <text>
        <r>
          <rPr>
            <b/>
            <sz val="9"/>
            <color indexed="81"/>
            <rFont val="Tahoma"/>
            <family val="2"/>
          </rPr>
          <t>numeral:6.3.3.1 ecuación (7)</t>
        </r>
        <r>
          <rPr>
            <sz val="9"/>
            <color indexed="81"/>
            <rFont val="Tahoma"/>
            <family val="2"/>
          </rPr>
          <t xml:space="preserve">
Euramet cg-21</t>
        </r>
      </text>
    </comment>
    <comment ref="B97" authorId="0" shapeId="0" xr:uid="{00000000-0006-0000-0200-000003000000}">
      <text>
        <r>
          <rPr>
            <b/>
            <sz val="9"/>
            <color indexed="81"/>
            <rFont val="Tahoma"/>
            <family val="2"/>
          </rPr>
          <t>Numeral:6.3.3.2</t>
        </r>
        <r>
          <rPr>
            <sz val="9"/>
            <color indexed="81"/>
            <rFont val="Tahoma"/>
            <family val="2"/>
          </rPr>
          <t xml:space="preserve">
Euramet cg-21</t>
        </r>
      </text>
    </comment>
    <comment ref="B98" authorId="0" shapeId="0" xr:uid="{00000000-0006-0000-0200-000004000000}">
      <text>
        <r>
          <rPr>
            <b/>
            <sz val="9"/>
            <color indexed="81"/>
            <rFont val="Tahoma"/>
            <family val="2"/>
          </rPr>
          <t>numeral:6.3.3.2</t>
        </r>
        <r>
          <rPr>
            <sz val="9"/>
            <color indexed="81"/>
            <rFont val="Tahoma"/>
            <family val="2"/>
          </rPr>
          <t xml:space="preserve">
Euramet cg-21</t>
        </r>
      </text>
    </comment>
    <comment ref="B99" authorId="0" shapeId="0" xr:uid="{00000000-0006-0000-0200-000005000000}">
      <text>
        <r>
          <rPr>
            <b/>
            <sz val="9"/>
            <color indexed="81"/>
            <rFont val="Tahoma"/>
            <family val="2"/>
          </rPr>
          <t>Numeral:6.3.3.2</t>
        </r>
        <r>
          <rPr>
            <sz val="9"/>
            <color indexed="81"/>
            <rFont val="Tahoma"/>
            <family val="2"/>
          </rPr>
          <t xml:space="preserve">
Euramet cg-21</t>
        </r>
      </text>
    </comment>
    <comment ref="B100" authorId="0" shapeId="0" xr:uid="{00000000-0006-0000-0200-000006000000}">
      <text>
        <r>
          <rPr>
            <b/>
            <sz val="9"/>
            <color indexed="81"/>
            <rFont val="Tahoma"/>
            <family val="2"/>
          </rPr>
          <t>numeral:6.3.3.2</t>
        </r>
        <r>
          <rPr>
            <sz val="9"/>
            <color indexed="81"/>
            <rFont val="Tahoma"/>
            <family val="2"/>
          </rPr>
          <t xml:space="preserve">
Euramet cg-21</t>
        </r>
      </text>
    </comment>
    <comment ref="B101" authorId="0" shapeId="0" xr:uid="{00000000-0006-0000-0200-000007000000}">
      <text>
        <r>
          <rPr>
            <b/>
            <sz val="9"/>
            <color indexed="81"/>
            <rFont val="Tahoma"/>
            <family val="2"/>
          </rPr>
          <t>numeral:6.3.3.2</t>
        </r>
        <r>
          <rPr>
            <sz val="9"/>
            <color indexed="81"/>
            <rFont val="Tahoma"/>
            <family val="2"/>
          </rPr>
          <t xml:space="preserve">
Euramet cg-21</t>
        </r>
      </text>
    </comment>
    <comment ref="B102" authorId="0" shapeId="0" xr:uid="{00000000-0006-0000-0200-000008000000}">
      <text>
        <r>
          <rPr>
            <b/>
            <sz val="9"/>
            <color indexed="81"/>
            <rFont val="Tahoma"/>
            <family val="2"/>
          </rPr>
          <t>Numeral:6.3.3.3</t>
        </r>
        <r>
          <rPr>
            <sz val="9"/>
            <color indexed="81"/>
            <rFont val="Tahoma"/>
            <family val="2"/>
          </rPr>
          <t xml:space="preserve">
Euramet cg-21</t>
        </r>
      </text>
    </comment>
    <comment ref="B103" authorId="0" shapeId="0" xr:uid="{00000000-0006-0000-0200-000009000000}">
      <text>
        <r>
          <rPr>
            <b/>
            <sz val="9"/>
            <color indexed="81"/>
            <rFont val="Tahoma"/>
            <family val="2"/>
          </rPr>
          <t>numeral:6.3.3.3</t>
        </r>
        <r>
          <rPr>
            <sz val="9"/>
            <color indexed="81"/>
            <rFont val="Tahoma"/>
            <family val="2"/>
          </rPr>
          <t xml:space="preserve">
Euramet cg-21</t>
        </r>
      </text>
    </comment>
    <comment ref="B104" authorId="0" shapeId="0" xr:uid="{00000000-0006-0000-0200-00000A000000}">
      <text>
        <r>
          <rPr>
            <b/>
            <sz val="9"/>
            <color indexed="81"/>
            <rFont val="Tahoma"/>
            <family val="2"/>
          </rPr>
          <t>numeral:6.3.3.3</t>
        </r>
        <r>
          <rPr>
            <sz val="9"/>
            <color indexed="81"/>
            <rFont val="Tahoma"/>
            <family val="2"/>
          </rPr>
          <t xml:space="preserve">
Euramet cg-21</t>
        </r>
      </text>
    </comment>
    <comment ref="B105" authorId="0" shapeId="0" xr:uid="{00000000-0006-0000-0200-00000B000000}">
      <text>
        <r>
          <rPr>
            <b/>
            <sz val="9"/>
            <color indexed="81"/>
            <rFont val="Tahoma"/>
            <family val="2"/>
          </rPr>
          <t>numeral:6.3.3.3</t>
        </r>
        <r>
          <rPr>
            <sz val="9"/>
            <color indexed="81"/>
            <rFont val="Tahoma"/>
            <family val="2"/>
          </rPr>
          <t xml:space="preserve">
Euramet cg-21</t>
        </r>
      </text>
    </comment>
    <comment ref="B106" authorId="0" shapeId="0" xr:uid="{00000000-0006-0000-0200-00000C000000}">
      <text>
        <r>
          <rPr>
            <b/>
            <sz val="9"/>
            <color indexed="81"/>
            <rFont val="Tahoma"/>
            <family val="2"/>
          </rPr>
          <t>numeral:6.3.3.3</t>
        </r>
        <r>
          <rPr>
            <sz val="9"/>
            <color indexed="81"/>
            <rFont val="Tahoma"/>
            <family val="2"/>
          </rPr>
          <t xml:space="preserve">
Euramet cg-21</t>
        </r>
      </text>
    </comment>
    <comment ref="B108" authorId="0" shapeId="0" xr:uid="{00000000-0006-0000-0200-00000D000000}">
      <text>
        <r>
          <rPr>
            <b/>
            <sz val="9"/>
            <color indexed="81"/>
            <rFont val="Tahoma"/>
            <family val="2"/>
          </rPr>
          <t>numeral:6.3.3.5</t>
        </r>
        <r>
          <rPr>
            <sz val="9"/>
            <color indexed="81"/>
            <rFont val="Tahoma"/>
            <family val="2"/>
          </rPr>
          <t xml:space="preserve">
Euramet cg-21</t>
        </r>
      </text>
    </comment>
    <comment ref="B109" authorId="0" shapeId="0" xr:uid="{00000000-0006-0000-0200-00000E000000}">
      <text>
        <r>
          <rPr>
            <b/>
            <sz val="9"/>
            <color indexed="81"/>
            <rFont val="Tahoma"/>
            <family val="2"/>
          </rPr>
          <t>numeral:6.3.3.4</t>
        </r>
        <r>
          <rPr>
            <sz val="9"/>
            <color indexed="81"/>
            <rFont val="Tahoma"/>
            <family val="2"/>
          </rPr>
          <t xml:space="preserve">
Euramet cg-21</t>
        </r>
      </text>
    </comment>
    <comment ref="B110" authorId="0" shapeId="0" xr:uid="{00000000-0006-0000-0200-00000F000000}">
      <text>
        <r>
          <rPr>
            <b/>
            <sz val="9"/>
            <color indexed="81"/>
            <rFont val="Tahoma"/>
            <family val="2"/>
          </rPr>
          <t>numeral:6.3.3.4</t>
        </r>
        <r>
          <rPr>
            <sz val="9"/>
            <color indexed="81"/>
            <rFont val="Tahoma"/>
            <family val="2"/>
          </rPr>
          <t xml:space="preserve">
Euramet cg-21</t>
        </r>
      </text>
    </comment>
    <comment ref="B111" authorId="0" shapeId="0" xr:uid="{00000000-0006-0000-0200-000010000000}">
      <text>
        <r>
          <rPr>
            <b/>
            <sz val="9"/>
            <color indexed="81"/>
            <rFont val="Tahoma"/>
            <family val="2"/>
          </rPr>
          <t>numeral:6.3.3.4</t>
        </r>
        <r>
          <rPr>
            <sz val="9"/>
            <color indexed="81"/>
            <rFont val="Tahoma"/>
            <family val="2"/>
          </rPr>
          <t xml:space="preserve">
Euramet cg-21</t>
        </r>
      </text>
    </comment>
    <comment ref="B115" authorId="0" shapeId="0" xr:uid="{00000000-0006-0000-0200-000011000000}">
      <text>
        <r>
          <rPr>
            <b/>
            <sz val="9"/>
            <color indexed="81"/>
            <rFont val="Tahoma"/>
            <family val="2"/>
          </rPr>
          <t>numeral:6.3.3.6</t>
        </r>
        <r>
          <rPr>
            <sz val="9"/>
            <color indexed="81"/>
            <rFont val="Tahoma"/>
            <family val="2"/>
          </rPr>
          <t xml:space="preserve">
Euramet cg-21</t>
        </r>
      </text>
    </comment>
    <comment ref="B116" authorId="0" shapeId="0" xr:uid="{00000000-0006-0000-0200-000012000000}">
      <text>
        <r>
          <rPr>
            <b/>
            <sz val="9"/>
            <color indexed="81"/>
            <rFont val="Tahoma"/>
            <family val="2"/>
          </rPr>
          <t>numeral:6.3.3.6</t>
        </r>
        <r>
          <rPr>
            <sz val="9"/>
            <color indexed="81"/>
            <rFont val="Tahoma"/>
            <family val="2"/>
          </rPr>
          <t xml:space="preserve">
Euramet cg-21</t>
        </r>
      </text>
    </comment>
    <comment ref="B117" authorId="0" shapeId="0" xr:uid="{00000000-0006-0000-0200-000013000000}">
      <text>
        <r>
          <rPr>
            <b/>
            <sz val="9"/>
            <color indexed="81"/>
            <rFont val="Tahoma"/>
            <family val="2"/>
          </rPr>
          <t>numeral:6.3.3.8</t>
        </r>
        <r>
          <rPr>
            <sz val="9"/>
            <color indexed="81"/>
            <rFont val="Tahoma"/>
            <family val="2"/>
          </rPr>
          <t xml:space="preserve">
Euramet cg-21</t>
        </r>
      </text>
    </comment>
    <comment ref="B118" authorId="0" shapeId="0" xr:uid="{00000000-0006-0000-0200-000014000000}">
      <text>
        <r>
          <rPr>
            <b/>
            <sz val="9"/>
            <color indexed="81"/>
            <rFont val="Tahoma"/>
            <family val="2"/>
          </rPr>
          <t>numeral:6.3.3.9</t>
        </r>
        <r>
          <rPr>
            <sz val="9"/>
            <color indexed="81"/>
            <rFont val="Tahoma"/>
            <family val="2"/>
          </rPr>
          <t xml:space="preserve">
Euramet cg-21</t>
        </r>
      </text>
    </comment>
  </commentList>
</comments>
</file>

<file path=xl/sharedStrings.xml><?xml version="1.0" encoding="utf-8"?>
<sst xmlns="http://schemas.openxmlformats.org/spreadsheetml/2006/main" count="1984" uniqueCount="647">
  <si>
    <t>RVC</t>
  </si>
  <si>
    <t>RVP</t>
  </si>
  <si>
    <t>Promedio</t>
  </si>
  <si>
    <t>°C</t>
  </si>
  <si>
    <t>mL</t>
  </si>
  <si>
    <t>Rectangular</t>
  </si>
  <si>
    <t>Euramet 21</t>
  </si>
  <si>
    <t>U</t>
  </si>
  <si>
    <t>E</t>
  </si>
  <si>
    <t>gal</t>
  </si>
  <si>
    <t>1/°C</t>
  </si>
  <si>
    <t>∞</t>
  </si>
  <si>
    <t xml:space="preserve"> </t>
  </si>
  <si>
    <t>cm</t>
  </si>
  <si>
    <t>NOMBRE</t>
  </si>
  <si>
    <t>hPa</t>
  </si>
  <si>
    <t>Euramet 19</t>
  </si>
  <si>
    <t>Certificado de calibración</t>
  </si>
  <si>
    <t>Estimación</t>
  </si>
  <si>
    <t>FINAL</t>
  </si>
  <si>
    <t>PROMEDIO</t>
  </si>
  <si>
    <t>E3</t>
  </si>
  <si>
    <t>1 litro</t>
  </si>
  <si>
    <t>1 mililitro</t>
  </si>
  <si>
    <t>Objeto:</t>
  </si>
  <si>
    <t>Número de Serie</t>
  </si>
  <si>
    <t>Fecha de calibración</t>
  </si>
  <si>
    <t>Temperatura</t>
  </si>
  <si>
    <t>Pipeta</t>
  </si>
  <si>
    <t>Temperatura de Referencia</t>
  </si>
  <si>
    <t>Capacidad nominal</t>
  </si>
  <si>
    <t>FIRMAS AUTORIZADAS:</t>
  </si>
  <si>
    <t>Firma Autorizada</t>
  </si>
  <si>
    <t>Material de construcción:</t>
  </si>
  <si>
    <t>Resolución:</t>
  </si>
  <si>
    <t>Fabricante</t>
  </si>
  <si>
    <t>Modelo</t>
  </si>
  <si>
    <t>Capacidad del RVC a la temperatura de referencia.</t>
  </si>
  <si>
    <t xml:space="preserve">Donde: </t>
  </si>
  <si>
    <t>Capacidad Nominal en galones</t>
  </si>
  <si>
    <t>Litros</t>
  </si>
  <si>
    <t>Mililitros</t>
  </si>
  <si>
    <t>Información del Cliente</t>
  </si>
  <si>
    <t>Solicitante</t>
  </si>
  <si>
    <t>Ciudad</t>
  </si>
  <si>
    <t>1.   INFORMACIÓN DEL EQUIPO SOMETIDO A CALIBRACIÓN</t>
  </si>
  <si>
    <t xml:space="preserve">Es el coeficiente de expansión térmica del material del RVP. </t>
  </si>
  <si>
    <t>Es la temperatura del líquido medida dentro del  RVP.</t>
  </si>
  <si>
    <t>Es el coeficiente de expansión térmica del agua.</t>
  </si>
  <si>
    <t>Es la temperatura del líquido medida dentro del RVC.</t>
  </si>
  <si>
    <t>Instrumento</t>
  </si>
  <si>
    <t>No. de Serie</t>
  </si>
  <si>
    <t>Trazabilidad</t>
  </si>
  <si>
    <t>DATOS DE LOS PATRONES</t>
  </si>
  <si>
    <t>Unidad</t>
  </si>
  <si>
    <t>ml</t>
  </si>
  <si>
    <t>Termómetro (RVP)</t>
  </si>
  <si>
    <t>Termómetro (RVC)</t>
  </si>
  <si>
    <t>Pie de Rey</t>
  </si>
  <si>
    <t>DATOS DE LOS RECIPIENTES</t>
  </si>
  <si>
    <t>Nombre</t>
  </si>
  <si>
    <t>Valor nominal</t>
  </si>
  <si>
    <t>Capacidad del RVP según certificado</t>
  </si>
  <si>
    <t>Volumen calculado en el RVC</t>
  </si>
  <si>
    <t>Diferencia respecto al patrón</t>
  </si>
  <si>
    <t>Serhapin test Measure</t>
  </si>
  <si>
    <t>Series "M"</t>
  </si>
  <si>
    <t>1 galón</t>
  </si>
  <si>
    <t>Hora de Inicio</t>
  </si>
  <si>
    <t>Hora final</t>
  </si>
  <si>
    <t>Temperatura de referencia</t>
  </si>
  <si>
    <t>INICIO</t>
  </si>
  <si>
    <t xml:space="preserve">División de escala  </t>
  </si>
  <si>
    <t xml:space="preserve">Coeficiente cubico de expansión térmico del agua </t>
  </si>
  <si>
    <t>Presión Atmosférica</t>
  </si>
  <si>
    <t>Diámetro interno del cuello</t>
  </si>
  <si>
    <t>Ancho de los trazos de la escala</t>
  </si>
  <si>
    <t>CICLOS DE CALIBRACIÓN</t>
  </si>
  <si>
    <t>Ítem</t>
  </si>
  <si>
    <t>Temperatura liquido °C</t>
  </si>
  <si>
    <t>Vertido (s)</t>
  </si>
  <si>
    <t>Escurrido (s)</t>
  </si>
  <si>
    <t>Total de (V+E) (s)</t>
  </si>
  <si>
    <t xml:space="preserve">n =                     </t>
  </si>
  <si>
    <t>Adicionar / Sustraer  (mL)</t>
  </si>
  <si>
    <t xml:space="preserve">                             ( mL)    </t>
  </si>
  <si>
    <t>COEFICIENTE DE SENSIBILIDAD CON RESPECTO AL VOLUMEN DE REFERENCIA (RVP)</t>
  </si>
  <si>
    <t>Derivadas Parciales</t>
  </si>
  <si>
    <t>Respecto a la lectura del menisco</t>
  </si>
  <si>
    <t>Respecto a la repetibilidad de las mediciones</t>
  </si>
  <si>
    <t>Respecto a los factores adicionales</t>
  </si>
  <si>
    <t>PRESPUESTO DE INCERTIDUMBRE</t>
  </si>
  <si>
    <t>Magnitud</t>
  </si>
  <si>
    <t>Incertidumbre Original</t>
  </si>
  <si>
    <t>k</t>
  </si>
  <si>
    <t>Incertidumbre Estándar</t>
  </si>
  <si>
    <t>Coeficientes de Sensibilidad</t>
  </si>
  <si>
    <t>Contribución</t>
  </si>
  <si>
    <t>Fuente Información</t>
  </si>
  <si>
    <t>Tipo de distribución</t>
  </si>
  <si>
    <t>Grados Efectivos de Libertad</t>
  </si>
  <si>
    <t>Volumen Recipiente de Referencia</t>
  </si>
  <si>
    <t xml:space="preserve">Calibración </t>
  </si>
  <si>
    <t>Normal</t>
  </si>
  <si>
    <t>Deriva</t>
  </si>
  <si>
    <t>Temperatura del agua en el RVP</t>
  </si>
  <si>
    <t>Resolución termómetro</t>
  </si>
  <si>
    <t>Calibración</t>
  </si>
  <si>
    <t>Inhomogenidad</t>
  </si>
  <si>
    <t>Temperatura del agua en el RVC</t>
  </si>
  <si>
    <t>Calculada</t>
  </si>
  <si>
    <t>Referencia placa</t>
  </si>
  <si>
    <t>Referencia tabla 1</t>
  </si>
  <si>
    <t>Incertidumbres Adicionales</t>
  </si>
  <si>
    <t xml:space="preserve">Lectura del menisco RVP  </t>
  </si>
  <si>
    <t xml:space="preserve">Lectura del menisco RVC  </t>
  </si>
  <si>
    <t>Delta por repetibilidad</t>
  </si>
  <si>
    <t>tabla 2</t>
  </si>
  <si>
    <t>Delta de adicionales</t>
  </si>
  <si>
    <t>Euramet 21 Tabla 2</t>
  </si>
  <si>
    <t>U expandida</t>
  </si>
  <si>
    <t>Resultados Finales</t>
  </si>
  <si>
    <t>│E│</t>
  </si>
  <si>
    <t>U corregida</t>
  </si>
  <si>
    <t>Numero de espacios (N)</t>
  </si>
  <si>
    <t>m</t>
  </si>
  <si>
    <t>y</t>
  </si>
  <si>
    <t>x</t>
  </si>
  <si>
    <t>Volumen calculado</t>
  </si>
  <si>
    <t>m     =</t>
  </si>
  <si>
    <t>Volumen nominal</t>
  </si>
  <si>
    <t>Volumen convencional</t>
  </si>
  <si>
    <t>Error</t>
  </si>
  <si>
    <t xml:space="preserve">Incertidumbre por interpolación </t>
  </si>
  <si>
    <t>1    (mm)</t>
  </si>
  <si>
    <t>2    (mm)</t>
  </si>
  <si>
    <t>3    (mm)</t>
  </si>
  <si>
    <t xml:space="preserve">   PROMEDIOS                  (mm)</t>
  </si>
  <si>
    <t>h min</t>
  </si>
  <si>
    <t>Litro</t>
  </si>
  <si>
    <t>Mililitro</t>
  </si>
  <si>
    <t>Respecto a D</t>
  </si>
  <si>
    <t xml:space="preserve">Respecto </t>
  </si>
  <si>
    <t>(ui(y))2</t>
  </si>
  <si>
    <t>Estimada</t>
  </si>
  <si>
    <t>Delta por Inhomogenidad</t>
  </si>
  <si>
    <t>2.   LUGAR Y DIRECCIÓN DE CALIBRACIÓN</t>
  </si>
  <si>
    <t>mm</t>
  </si>
  <si>
    <t>Luis Henry Barreto Rojas</t>
  </si>
  <si>
    <r>
      <t>y</t>
    </r>
    <r>
      <rPr>
        <b/>
        <vertAlign val="subscript"/>
        <sz val="12"/>
        <color theme="1"/>
        <rFont val="Arial"/>
        <family val="2"/>
      </rPr>
      <t>3</t>
    </r>
  </si>
  <si>
    <r>
      <t>y</t>
    </r>
    <r>
      <rPr>
        <b/>
        <vertAlign val="subscript"/>
        <sz val="12"/>
        <color theme="1"/>
        <rFont val="Arial"/>
        <family val="2"/>
      </rPr>
      <t>1</t>
    </r>
  </si>
  <si>
    <r>
      <t>V</t>
    </r>
    <r>
      <rPr>
        <i/>
        <vertAlign val="subscript"/>
        <sz val="12"/>
        <color theme="1"/>
        <rFont val="Arial"/>
        <family val="2"/>
      </rPr>
      <t>t</t>
    </r>
  </si>
  <si>
    <r>
      <t>V</t>
    </r>
    <r>
      <rPr>
        <i/>
        <vertAlign val="subscript"/>
        <sz val="12"/>
        <color theme="1"/>
        <rFont val="Arial"/>
        <family val="2"/>
      </rPr>
      <t xml:space="preserve">t + </t>
    </r>
    <r>
      <rPr>
        <vertAlign val="subscript"/>
        <sz val="12"/>
        <color theme="1"/>
        <rFont val="Arial"/>
        <family val="2"/>
      </rPr>
      <t>±</t>
    </r>
    <r>
      <rPr>
        <i/>
        <vertAlign val="subscript"/>
        <sz val="12"/>
        <color theme="1"/>
        <rFont val="Arial"/>
        <family val="2"/>
      </rPr>
      <t xml:space="preserve"> </t>
    </r>
    <r>
      <rPr>
        <i/>
        <sz val="12"/>
        <color theme="1"/>
        <rFont val="Arial"/>
        <family val="2"/>
      </rPr>
      <t>∆V)</t>
    </r>
  </si>
  <si>
    <r>
      <t xml:space="preserve">Valor Estimado </t>
    </r>
    <r>
      <rPr>
        <b/>
        <i/>
        <sz val="12"/>
        <color theme="1"/>
        <rFont val="Arial"/>
        <family val="2"/>
      </rPr>
      <t>X</t>
    </r>
    <r>
      <rPr>
        <b/>
        <i/>
        <vertAlign val="subscript"/>
        <sz val="12"/>
        <color theme="1"/>
        <rFont val="Arial"/>
        <family val="2"/>
      </rPr>
      <t>i</t>
    </r>
  </si>
  <si>
    <t>Incertidumbre del Certificado</t>
  </si>
  <si>
    <t>Fecha de Calibración</t>
  </si>
  <si>
    <t>División de Escala / Resolución</t>
  </si>
  <si>
    <t>Identificación             /  
Serie</t>
  </si>
  <si>
    <t>Coeficiente cubico de expansión térmico del material (IP)</t>
  </si>
  <si>
    <t>s</t>
  </si>
  <si>
    <t xml:space="preserve">Coeficiente de expansión térmica del agua   ß </t>
  </si>
  <si>
    <t xml:space="preserve">Pipeta </t>
  </si>
  <si>
    <t xml:space="preserve">Probeta </t>
  </si>
  <si>
    <t>Pipetas</t>
  </si>
  <si>
    <t>Probetas</t>
  </si>
  <si>
    <t>Fecha de Recepción</t>
  </si>
  <si>
    <t>Lugar de Calibración</t>
  </si>
  <si>
    <t>Certificado</t>
  </si>
  <si>
    <t>Unidades en  " °C "</t>
  </si>
  <si>
    <t>Unidades en    " mm "</t>
  </si>
  <si>
    <t>Unidades en    " s "</t>
  </si>
  <si>
    <t xml:space="preserve">Puntos para Interpolar según  Certificado </t>
  </si>
  <si>
    <t>Serie</t>
  </si>
  <si>
    <t>Capacidad Nominal en  " gal "</t>
  </si>
  <si>
    <t>NOMBRE DEL METRÓLOGO</t>
  </si>
  <si>
    <t>Respecto al volumen de referencia del  " RVP "</t>
  </si>
  <si>
    <t>Respecto a la temperatura del líquido en el  " RVP "</t>
  </si>
  <si>
    <t>Respecto ala temperatura del liquido en el  " RVC "</t>
  </si>
  <si>
    <t>Pipeta   " IP "</t>
  </si>
  <si>
    <t>Calibración  " IP "</t>
  </si>
  <si>
    <t>Resolución    " IP "</t>
  </si>
  <si>
    <t>Deriva  " IP "</t>
  </si>
  <si>
    <t>V-005</t>
  </si>
  <si>
    <t>V-001</t>
  </si>
  <si>
    <t xml:space="preserve">22,1014,1212,,005 / pt 347980,004     </t>
  </si>
  <si>
    <t xml:space="preserve">004,0816,1212,006 / pt 347980,002     </t>
  </si>
  <si>
    <t xml:space="preserve">004,0816,1212,006 / pt 347980,002    </t>
  </si>
  <si>
    <t>V-1</t>
  </si>
  <si>
    <t>V-2</t>
  </si>
  <si>
    <t>V-3</t>
  </si>
  <si>
    <t>V-4</t>
  </si>
  <si>
    <t>V-5</t>
  </si>
  <si>
    <t>V-6</t>
  </si>
  <si>
    <t>V-7</t>
  </si>
  <si>
    <t>V-8</t>
  </si>
  <si>
    <t>V-9</t>
  </si>
  <si>
    <t>V-10</t>
  </si>
  <si>
    <t>V-11</t>
  </si>
  <si>
    <t>V-14</t>
  </si>
  <si>
    <t>Corrección (Según Certificado)</t>
  </si>
  <si>
    <t>Factor de Cobertura (Según Certificado)</t>
  </si>
  <si>
    <t>No</t>
  </si>
  <si>
    <t>Diámetro interno del cuello (cm)</t>
  </si>
  <si>
    <t>Coeficiente cubico de expansión térmico del material ( °C-1)</t>
  </si>
  <si>
    <t>División de escala ( mL )</t>
  </si>
  <si>
    <t>Resolución ( mL )</t>
  </si>
  <si>
    <t>Ancho de los trazos de la escala (cm)</t>
  </si>
  <si>
    <t>Elvis Aguirre Romero</t>
  </si>
  <si>
    <r>
      <t>x</t>
    </r>
    <r>
      <rPr>
        <b/>
        <vertAlign val="subscript"/>
        <sz val="12"/>
        <color theme="1"/>
        <rFont val="Arial"/>
        <family val="2"/>
      </rPr>
      <t>1</t>
    </r>
  </si>
  <si>
    <r>
      <t>x</t>
    </r>
    <r>
      <rPr>
        <b/>
        <vertAlign val="subscript"/>
        <sz val="12"/>
        <color theme="1"/>
        <rFont val="Arial"/>
        <family val="2"/>
      </rPr>
      <t>2</t>
    </r>
  </si>
  <si>
    <r>
      <t>1 in</t>
    </r>
    <r>
      <rPr>
        <b/>
        <vertAlign val="superscript"/>
        <sz val="12"/>
        <color theme="1"/>
        <rFont val="Arial"/>
        <family val="2"/>
      </rPr>
      <t>3</t>
    </r>
  </si>
  <si>
    <r>
      <t>u (∆D</t>
    </r>
    <r>
      <rPr>
        <b/>
        <vertAlign val="subscript"/>
        <sz val="12"/>
        <color theme="1"/>
        <rFont val="Arial"/>
        <family val="2"/>
      </rPr>
      <t>inho</t>
    </r>
    <r>
      <rPr>
        <b/>
        <sz val="12"/>
        <color theme="1"/>
        <rFont val="Arial"/>
        <family val="2"/>
      </rPr>
      <t xml:space="preserve">) </t>
    </r>
    <r>
      <rPr>
        <b/>
        <vertAlign val="subscript"/>
        <sz val="12"/>
        <color theme="1"/>
        <rFont val="Arial"/>
        <family val="2"/>
      </rPr>
      <t xml:space="preserve"> (mL)</t>
    </r>
  </si>
  <si>
    <r>
      <t>in</t>
    </r>
    <r>
      <rPr>
        <vertAlign val="superscript"/>
        <sz val="12"/>
        <color theme="1"/>
        <rFont val="Arial"/>
        <family val="2"/>
      </rPr>
      <t>3</t>
    </r>
  </si>
  <si>
    <t xml:space="preserve">°C </t>
  </si>
  <si>
    <r>
      <t>División de escala   (in</t>
    </r>
    <r>
      <rPr>
        <b/>
        <vertAlign val="superscript"/>
        <sz val="10"/>
        <color theme="1"/>
        <rFont val="Arial"/>
        <family val="2"/>
      </rPr>
      <t>3</t>
    </r>
    <r>
      <rPr>
        <b/>
        <sz val="10"/>
        <color theme="1"/>
        <rFont val="Arial"/>
        <family val="2"/>
      </rPr>
      <t>)</t>
    </r>
    <r>
      <rPr>
        <b/>
        <vertAlign val="superscript"/>
        <sz val="10"/>
        <color theme="1"/>
        <rFont val="Arial"/>
        <family val="2"/>
      </rPr>
      <t xml:space="preserve"> </t>
    </r>
  </si>
  <si>
    <r>
      <t xml:space="preserve">0,5 </t>
    </r>
    <r>
      <rPr>
        <b/>
        <vertAlign val="superscript"/>
        <sz val="12"/>
        <color theme="1"/>
        <rFont val="Arial"/>
        <family val="2"/>
      </rPr>
      <t xml:space="preserve">   </t>
    </r>
    <r>
      <rPr>
        <b/>
        <sz val="12"/>
        <color theme="1"/>
        <rFont val="Arial"/>
        <family val="2"/>
      </rPr>
      <t>=</t>
    </r>
  </si>
  <si>
    <r>
      <t xml:space="preserve">1 </t>
    </r>
    <r>
      <rPr>
        <b/>
        <vertAlign val="superscript"/>
        <sz val="12"/>
        <color theme="1"/>
        <rFont val="Arial"/>
        <family val="2"/>
      </rPr>
      <t xml:space="preserve">   </t>
    </r>
    <r>
      <rPr>
        <b/>
        <sz val="12"/>
        <color theme="1"/>
        <rFont val="Arial"/>
        <family val="2"/>
      </rPr>
      <t>=</t>
    </r>
  </si>
  <si>
    <t># de Espacios</t>
  </si>
  <si>
    <t>Nominal</t>
  </si>
  <si>
    <r>
      <t>D</t>
    </r>
    <r>
      <rPr>
        <b/>
        <vertAlign val="subscript"/>
        <sz val="14"/>
        <color rgb="FFFFFFFF"/>
        <rFont val="Arial"/>
        <family val="2"/>
      </rPr>
      <t>promedio</t>
    </r>
  </si>
  <si>
    <r>
      <t>INTERVALO DE LA ESCALA DEL RV  EN  ±10 in</t>
    </r>
    <r>
      <rPr>
        <b/>
        <vertAlign val="superscript"/>
        <sz val="14"/>
        <color rgb="FFFFFFFF"/>
        <rFont val="Arial"/>
        <family val="2"/>
      </rPr>
      <t>3</t>
    </r>
  </si>
  <si>
    <t>Magnitud de entrada</t>
  </si>
  <si>
    <t>Valor estimado (xi)</t>
  </si>
  <si>
    <t>Incertidumbre original</t>
  </si>
  <si>
    <t>Contribución ui(y)</t>
  </si>
  <si>
    <t>Tipo de Distribución</t>
  </si>
  <si>
    <t>Identificación / serie</t>
  </si>
  <si>
    <t>Capacidad (Según Certificado)</t>
  </si>
  <si>
    <t>Identificación / Serie</t>
  </si>
  <si>
    <t>Capacidad  (Según Certificado)</t>
  </si>
  <si>
    <t>División de escala nominal:</t>
  </si>
  <si>
    <t>La escala fue verificada:</t>
  </si>
  <si>
    <t>…………………..Fin de este documento………………………</t>
  </si>
  <si>
    <t>Lufft Opus 20</t>
  </si>
  <si>
    <t>Brand</t>
  </si>
  <si>
    <t>Simax</t>
  </si>
  <si>
    <t>Mitutoyo</t>
  </si>
  <si>
    <t xml:space="preserve">Lufft </t>
  </si>
  <si>
    <t>Trazabilidad y numero</t>
  </si>
  <si>
    <t>Observaciones</t>
  </si>
  <si>
    <t>Intervalo de Medición</t>
  </si>
  <si>
    <t>A</t>
  </si>
  <si>
    <t>Volumen Indicado Vsp</t>
  </si>
  <si>
    <t xml:space="preserve"> Capacidad según certificado       </t>
  </si>
  <si>
    <t xml:space="preserve">V suministrado al  RVC con probeta patrón           </t>
  </si>
  <si>
    <t>División de escala calculada al RVC        D=Vsp/N</t>
  </si>
  <si>
    <t>CONVERSIÓN</t>
  </si>
  <si>
    <t>Capacidad Nominal mL</t>
  </si>
  <si>
    <r>
      <t xml:space="preserve">Capacidad </t>
    </r>
    <r>
      <rPr>
        <b/>
        <sz val="8"/>
        <color theme="1"/>
        <rFont val="Arial"/>
        <family val="2"/>
      </rPr>
      <t>(Según Certificado) mL</t>
    </r>
  </si>
  <si>
    <t>División de Escala / Resolución mL</t>
  </si>
  <si>
    <t>Incertidumbre del Certificado mL</t>
  </si>
  <si>
    <r>
      <t xml:space="preserve">                      DATOS PROBETA PATRON                      (V</t>
    </r>
    <r>
      <rPr>
        <b/>
        <vertAlign val="subscript"/>
        <sz val="14"/>
        <color theme="0"/>
        <rFont val="Arial"/>
        <family val="2"/>
      </rPr>
      <t>sp</t>
    </r>
    <r>
      <rPr>
        <b/>
        <sz val="14"/>
        <color theme="0"/>
        <rFont val="Arial"/>
        <family val="2"/>
      </rPr>
      <t>) (mL)</t>
    </r>
  </si>
  <si>
    <t>LH</t>
  </si>
  <si>
    <t>EA</t>
  </si>
  <si>
    <t>Información Inicial</t>
  </si>
  <si>
    <t>N °  Certificado Adherido</t>
  </si>
  <si>
    <t>Equipos Patrón</t>
  </si>
  <si>
    <t>V-003    Punto 1</t>
  </si>
  <si>
    <t>V-003    Punto 2</t>
  </si>
  <si>
    <t>V-003    Punto 3</t>
  </si>
  <si>
    <t>CMC</t>
  </si>
  <si>
    <t>DATOS</t>
  </si>
  <si>
    <t>Unidades en    " mL"</t>
  </si>
  <si>
    <t>INM 2148</t>
  </si>
  <si>
    <t>INM 1831</t>
  </si>
  <si>
    <t>INM 2990</t>
  </si>
  <si>
    <t>INM 2981</t>
  </si>
  <si>
    <t>INM 2985</t>
  </si>
  <si>
    <t xml:space="preserve">MLP - 01          </t>
  </si>
  <si>
    <t>INM 2952</t>
  </si>
  <si>
    <t>INM 2964</t>
  </si>
  <si>
    <t>SIGMA No. 33295</t>
  </si>
  <si>
    <t>SIGMA No. 33291</t>
  </si>
  <si>
    <t>Precinto #</t>
  </si>
  <si>
    <t>%</t>
  </si>
  <si>
    <t>HOJA DE CÁLCULO PARA CALIBRACIÓN DE RECIPIENTES VOLUMÉTRICOS</t>
  </si>
  <si>
    <t>No tiene</t>
  </si>
  <si>
    <t>mL°C</t>
  </si>
  <si>
    <t>Patrón Utilizado en la Calibración - Termo higrómetros</t>
  </si>
  <si>
    <t xml:space="preserve">  V-002 </t>
  </si>
  <si>
    <t>Humedad</t>
  </si>
  <si>
    <t>Código Interno</t>
  </si>
  <si>
    <t>V-002</t>
  </si>
  <si>
    <t xml:space="preserve">M-012 </t>
  </si>
  <si>
    <t xml:space="preserve">M-012  </t>
  </si>
  <si>
    <t xml:space="preserve">M-013 </t>
  </si>
  <si>
    <t>CDT CERT-16-EMP-1057-2567</t>
  </si>
  <si>
    <t xml:space="preserve">M-013  </t>
  </si>
  <si>
    <t xml:space="preserve">M-010 </t>
  </si>
  <si>
    <t>M-010</t>
  </si>
  <si>
    <t xml:space="preserve">M-011 </t>
  </si>
  <si>
    <t>0,22.0714.0802.024</t>
  </si>
  <si>
    <t>INM 1997</t>
  </si>
  <si>
    <t>INM 2147</t>
  </si>
  <si>
    <t>M-011</t>
  </si>
  <si>
    <t>Temperatura °C</t>
  </si>
  <si>
    <t>Presión Atmosférica hPa</t>
  </si>
  <si>
    <r>
      <t>mL°C</t>
    </r>
    <r>
      <rPr>
        <b/>
        <i/>
        <vertAlign val="superscript"/>
        <sz val="12"/>
        <color theme="1"/>
        <rFont val="Arial"/>
        <family val="2"/>
      </rPr>
      <t>-1</t>
    </r>
  </si>
  <si>
    <r>
      <t xml:space="preserve">N.C </t>
    </r>
    <r>
      <rPr>
        <b/>
        <i/>
        <sz val="12"/>
        <color theme="1"/>
        <rFont val="Arial"/>
        <family val="2"/>
      </rPr>
      <t>%</t>
    </r>
  </si>
  <si>
    <t>Ciudad del Solicitante</t>
  </si>
  <si>
    <t>Certificado N°</t>
  </si>
  <si>
    <t xml:space="preserve">Capacidad del RVP, a la temperatura de referencia hasta el trazo que indica su capacidad nominal de 5 galones.  </t>
  </si>
  <si>
    <t xml:space="preserve">Es la temperatura de referencia en el RVP, según certificado .                               </t>
  </si>
  <si>
    <t>Antes de ajuste</t>
  </si>
  <si>
    <t>3.   CÓDIGO INTERNO</t>
  </si>
  <si>
    <t>Valor Absoluto</t>
  </si>
  <si>
    <t>Código interno</t>
  </si>
  <si>
    <t>Incertidumbre Estándar Global</t>
  </si>
  <si>
    <t xml:space="preserve">HOJA DE CÁLCULO PARA CALIBRACIÓN DE RECIPIENTES VOLUMÉTRICOS </t>
  </si>
  <si>
    <t>V-003    Punto 4</t>
  </si>
  <si>
    <t>V-003    Punto 5</t>
  </si>
  <si>
    <t>C-I V-004</t>
  </si>
  <si>
    <t>C-I V-003</t>
  </si>
  <si>
    <t>Tipo de visor:</t>
  </si>
  <si>
    <t>Modelo:</t>
  </si>
  <si>
    <t>Fuera de Servicio</t>
  </si>
  <si>
    <t>Metrólogo de Masa y Volumen</t>
  </si>
  <si>
    <t>División de escala  (mL)</t>
  </si>
  <si>
    <t>Resolución (mL)</t>
  </si>
  <si>
    <t>Unidades en   ( mL )</t>
  </si>
  <si>
    <t>Capacidad del RVC</t>
  </si>
  <si>
    <t>Después de ajuste</t>
  </si>
  <si>
    <t xml:space="preserve"> ±</t>
  </si>
  <si>
    <t>Termómetro RVP *</t>
  </si>
  <si>
    <t>Termómetro RVC *</t>
  </si>
  <si>
    <t xml:space="preserve"> Recipiente Calibrado  en el  Laboratorio  SIC - (RVC)</t>
  </si>
  <si>
    <t>Incertidumbre dominante</t>
  </si>
  <si>
    <r>
      <t>ALTURAS DE ESPACIOS EN RV  ± 10 in</t>
    </r>
    <r>
      <rPr>
        <b/>
        <vertAlign val="superscript"/>
        <sz val="18"/>
        <color rgb="FFFFFFFF"/>
        <rFont val="Arial"/>
        <family val="2"/>
      </rPr>
      <t xml:space="preserve">3 </t>
    </r>
    <r>
      <rPr>
        <b/>
        <sz val="14"/>
        <color rgb="FFFFFFFF"/>
        <rFont val="Arial"/>
        <family val="2"/>
      </rPr>
      <t xml:space="preserve"> o  ± 1 %</t>
    </r>
    <r>
      <rPr>
        <vertAlign val="superscript"/>
        <sz val="14"/>
        <color rgb="FFFFFFFF"/>
        <rFont val="Arial"/>
        <family val="2"/>
      </rPr>
      <t xml:space="preserve">  </t>
    </r>
  </si>
  <si>
    <t>Limpia</t>
  </si>
  <si>
    <t>Mediciones (cm)</t>
  </si>
  <si>
    <t>TABLA DE CONVERSIÓN                       
Disponible en  https://www.nist.gov/physical-measurement-laboratory/nist-guide-si-appendix-b</t>
  </si>
  <si>
    <t>SI</t>
  </si>
  <si>
    <t>≤ 0,3</t>
  </si>
  <si>
    <t>K=1,65</t>
  </si>
  <si>
    <t>K= 2,0</t>
  </si>
  <si>
    <t>Resultado</t>
  </si>
  <si>
    <t>Condicional incertidumbre dominante</t>
  </si>
  <si>
    <r>
      <rPr>
        <b/>
        <i/>
        <sz val="12"/>
        <rFont val="Tahoma"/>
        <family val="2"/>
      </rPr>
      <t>≥</t>
    </r>
    <r>
      <rPr>
        <b/>
        <i/>
        <sz val="12"/>
        <rFont val="Arial"/>
        <family val="2"/>
      </rPr>
      <t xml:space="preserve"> 0,3</t>
    </r>
  </si>
  <si>
    <t>Propiedad de un resultado de medida por la cual el resultado puede relacionarse con una referencia mediante una cadena ininterrumpida y documentada de calibraciones, cada una de las cuales contribuye a la incertidumbre de medida.</t>
  </si>
  <si>
    <t>Intervalo de medida</t>
  </si>
  <si>
    <t>Capacidad nominal:</t>
  </si>
  <si>
    <t>Número de serie:</t>
  </si>
  <si>
    <t>Fabricante:</t>
  </si>
  <si>
    <t>Superficie externa:</t>
  </si>
  <si>
    <t>Superficie interna:</t>
  </si>
  <si>
    <t>Tubo en vidrio</t>
  </si>
  <si>
    <t xml:space="preserve">4.   MÉTODO DE CALIBRACIÓN UTILIZADO </t>
  </si>
  <si>
    <t>5.  CONDICIONES AMBIENTALES</t>
  </si>
  <si>
    <t>6.   INCERTIDUMBRE DE MEDICIÓN</t>
  </si>
  <si>
    <t>7.   TRAZABILIDAD METROLÓGICA</t>
  </si>
  <si>
    <t>8.   RESULTADOS DE LA CALIBRACIÓN</t>
  </si>
  <si>
    <t>9.   SE AJUSTO LA ESCALA</t>
  </si>
  <si>
    <t>10.   OBSERVACIONES</t>
  </si>
  <si>
    <t>RVP Código Interno</t>
  </si>
  <si>
    <t>Recipientes Volumétricos Patrón</t>
  </si>
  <si>
    <t>Termómetro utilizado en el liquido del RVC</t>
  </si>
  <si>
    <t>Termómetro utilizado en el liquido del RVP</t>
  </si>
  <si>
    <t>Verificación de Escala</t>
  </si>
  <si>
    <t>Material del Recipiente Volumétrico</t>
  </si>
  <si>
    <t>Según certificado  punto Mínimo</t>
  </si>
  <si>
    <t>Según certificado  punto Máximo</t>
  </si>
  <si>
    <t>Cronómetros</t>
  </si>
  <si>
    <t>Metrólogos</t>
  </si>
  <si>
    <t>Nombre del Metrólogo</t>
  </si>
  <si>
    <t>Trazabilidad y número</t>
  </si>
  <si>
    <t>Cronómetro</t>
  </si>
  <si>
    <t>Temperatura líquido Corregida °C</t>
  </si>
  <si>
    <t>Temperatura líquido corregida °C</t>
  </si>
  <si>
    <t>Temperatura líquido °C</t>
  </si>
  <si>
    <t>Coeficiente cúbico de expansión térmico del material</t>
  </si>
  <si>
    <t>Coeficiente cúbico de expansión térmico del Agua</t>
  </si>
  <si>
    <t>Incertidumbre estándar  u(xi)</t>
  </si>
  <si>
    <t>Coeficiente de sensibilidad (ci)</t>
  </si>
  <si>
    <t>Grados de libertad    Vi</t>
  </si>
  <si>
    <t>Volumen suministrado probeta patrón</t>
  </si>
  <si>
    <t>Calibración probeta patrón</t>
  </si>
  <si>
    <t>Lectura probeta patrón</t>
  </si>
  <si>
    <t>Delta de volumen máximo de lectura</t>
  </si>
  <si>
    <t>Delta de volumen mínimo de lectura</t>
  </si>
  <si>
    <t>Delta por método</t>
  </si>
  <si>
    <t>Como g ej. &gt; 50  =&gt;para 95%</t>
  </si>
  <si>
    <t>División de escala</t>
  </si>
  <si>
    <r>
      <rPr>
        <i/>
        <sz val="12"/>
        <color theme="1"/>
        <rFont val="Arial"/>
        <family val="2"/>
      </rPr>
      <t>u</t>
    </r>
    <r>
      <rPr>
        <sz val="12"/>
        <color theme="1"/>
        <rFont val="Arial"/>
        <family val="2"/>
      </rPr>
      <t xml:space="preserve"> división de escala </t>
    </r>
  </si>
  <si>
    <t>Capacidad nominal probeta patrón</t>
  </si>
  <si>
    <t>V Min Indicado probeta patrón     (N)</t>
  </si>
  <si>
    <t>Interpolación VMin Indicado probeta patrón</t>
  </si>
  <si>
    <t>h máx.</t>
  </si>
  <si>
    <r>
      <t>Diferencia de alturas  (D</t>
    </r>
    <r>
      <rPr>
        <b/>
        <vertAlign val="subscript"/>
        <sz val="12"/>
        <color theme="1"/>
        <rFont val="Arial"/>
        <family val="2"/>
      </rPr>
      <t>h</t>
    </r>
    <r>
      <rPr>
        <b/>
        <sz val="12"/>
        <color theme="1"/>
        <rFont val="Arial"/>
        <family val="2"/>
      </rPr>
      <t>)</t>
    </r>
  </si>
  <si>
    <t>TABLA DE CONVERSION                                        
Disponible en  https://www.nist.gov/physical-measurement-laboratory/nist-guide-si-appendix-b</t>
  </si>
  <si>
    <t>Acero inoxidable</t>
  </si>
  <si>
    <t>Recipiente volumétrico</t>
  </si>
  <si>
    <t>Incertidumbre   ± U</t>
  </si>
  <si>
    <t>Dirección del Solicitante</t>
  </si>
  <si>
    <t>Bogotá D.C.</t>
  </si>
  <si>
    <t>5 gal</t>
  </si>
  <si>
    <t>Ancho de los trazos de la escala (mm)</t>
  </si>
  <si>
    <t>0,23.0714.0802.024 C-I V-002</t>
  </si>
  <si>
    <t>19506160802033 C-I M-012</t>
  </si>
  <si>
    <t>0,26.0714.0802.024 C-I M-010</t>
  </si>
  <si>
    <t>19406160802033 C-I M-013</t>
  </si>
  <si>
    <t xml:space="preserve">16-5935702    C-I V-005         </t>
  </si>
  <si>
    <t>14-92812 C-I V-001</t>
  </si>
  <si>
    <t>INM 4216</t>
  </si>
  <si>
    <t>INM 4217</t>
  </si>
  <si>
    <t>Recipiente Volumétrico</t>
  </si>
  <si>
    <t>Delta del volumen (mL)</t>
  </si>
  <si>
    <t>ANÁLISIS DE CAPACIDAD DE VOLUMEN (RVC) mL</t>
  </si>
  <si>
    <t>100.24</t>
  </si>
  <si>
    <t>Solicitante:</t>
  </si>
  <si>
    <t>Dirección:</t>
  </si>
  <si>
    <t>Fecha de recepción:</t>
  </si>
  <si>
    <t>Fecha de calibración:</t>
  </si>
  <si>
    <t>Delta respecto a la lectura del menisco.</t>
  </si>
  <si>
    <t>Delta respecto a la repetibilidad de las mediciones.</t>
  </si>
  <si>
    <t>Delta respecto a factores adicionales.</t>
  </si>
  <si>
    <t>18 501,0 mL a 19 336,6 mL</t>
  </si>
  <si>
    <t>División mínima promedio de la escala:</t>
  </si>
  <si>
    <t>Intervalo de Medida</t>
  </si>
  <si>
    <t>0 mL a 5 mL</t>
  </si>
  <si>
    <t>0 mL a 10 mL</t>
  </si>
  <si>
    <t>0 mL a 25 mL</t>
  </si>
  <si>
    <t>0 mL a 0mL</t>
  </si>
  <si>
    <t>14 °C a 22 °C</t>
  </si>
  <si>
    <t>Promedio Corregido por temperatura en el líquido RVP</t>
  </si>
  <si>
    <t>Incertidumbre    ± U</t>
  </si>
  <si>
    <t>EMP</t>
  </si>
  <si>
    <t>| E |</t>
  </si>
  <si>
    <t>|E|</t>
  </si>
  <si>
    <t xml:space="preserve">Fecha de elaboración:  </t>
  </si>
  <si>
    <t>XXXX-XX-XX</t>
  </si>
  <si>
    <t>Lugar y Dirección de Calibración</t>
  </si>
  <si>
    <t xml:space="preserve">Ciudad </t>
  </si>
  <si>
    <t>Ciudad :</t>
  </si>
  <si>
    <t xml:space="preserve"> DATOS DEL RVP </t>
  </si>
  <si>
    <t xml:space="preserve"> DATOS DEL RVC </t>
  </si>
  <si>
    <t>Puntos de calibración Actual (°C)</t>
  </si>
  <si>
    <t>Puntos de calibración Anterior (°C)</t>
  </si>
  <si>
    <t>Deriva °C</t>
  </si>
  <si>
    <t>Divisor</t>
  </si>
  <si>
    <t>%hr</t>
  </si>
  <si>
    <t>SC</t>
  </si>
  <si>
    <t>°C "m" Pendiente</t>
  </si>
  <si>
    <t>°C "b" Intersección</t>
  </si>
  <si>
    <t>hPa "m" Pendiente</t>
  </si>
  <si>
    <t>hPa "b" Intersección</t>
  </si>
  <si>
    <t>Fecha</t>
  </si>
  <si>
    <t>Mínimo</t>
  </si>
  <si>
    <t>Máximo</t>
  </si>
  <si>
    <t>Humedad Relativa % hr</t>
  </si>
  <si>
    <t>Capacidad            (Según Certificado)</t>
  </si>
  <si>
    <r>
      <t>1 in</t>
    </r>
    <r>
      <rPr>
        <b/>
        <vertAlign val="superscript"/>
        <sz val="12"/>
        <color rgb="FF000000"/>
        <rFont val="Arial"/>
        <family val="2"/>
      </rPr>
      <t>3</t>
    </r>
  </si>
  <si>
    <r>
      <t>1 cm</t>
    </r>
    <r>
      <rPr>
        <b/>
        <vertAlign val="superscript"/>
        <sz val="12"/>
        <color theme="1"/>
        <rFont val="Arial"/>
        <family val="2"/>
      </rPr>
      <t>3</t>
    </r>
  </si>
  <si>
    <r>
      <t>°C</t>
    </r>
    <r>
      <rPr>
        <vertAlign val="superscript"/>
        <sz val="12"/>
        <color theme="1"/>
        <rFont val="Arial"/>
        <family val="2"/>
      </rPr>
      <t>-1</t>
    </r>
  </si>
  <si>
    <r>
      <t xml:space="preserve">DATOS DE CONDICIONES AMBIENTALES </t>
    </r>
    <r>
      <rPr>
        <b/>
        <i/>
        <sz val="12"/>
        <color theme="0"/>
        <rFont val="Arial"/>
        <family val="2"/>
      </rPr>
      <t>TERMOHIGROMETRO</t>
    </r>
  </si>
  <si>
    <r>
      <t xml:space="preserve">Promedio   </t>
    </r>
    <r>
      <rPr>
        <b/>
        <i/>
        <sz val="12"/>
        <color theme="0"/>
        <rFont val="Arial"/>
        <family val="2"/>
      </rPr>
      <t>Vt</t>
    </r>
  </si>
  <si>
    <r>
      <t xml:space="preserve">Desviación </t>
    </r>
    <r>
      <rPr>
        <b/>
        <i/>
        <sz val="12"/>
        <color theme="0"/>
        <rFont val="Arial"/>
        <family val="2"/>
      </rPr>
      <t>s  Vt</t>
    </r>
  </si>
  <si>
    <r>
      <t xml:space="preserve">Contribución </t>
    </r>
    <r>
      <rPr>
        <b/>
        <vertAlign val="superscript"/>
        <sz val="12"/>
        <color theme="1"/>
        <rFont val="Arial"/>
        <family val="2"/>
      </rPr>
      <t>2</t>
    </r>
  </si>
  <si>
    <r>
      <t>mL°C</t>
    </r>
    <r>
      <rPr>
        <vertAlign val="superscript"/>
        <sz val="12"/>
        <rFont val="Arial"/>
        <family val="2"/>
      </rPr>
      <t>-1</t>
    </r>
  </si>
  <si>
    <r>
      <t>V</t>
    </r>
    <r>
      <rPr>
        <vertAlign val="subscript"/>
        <sz val="12"/>
        <color theme="1"/>
        <rFont val="Arial"/>
        <family val="2"/>
      </rPr>
      <t>t</t>
    </r>
  </si>
  <si>
    <r>
      <t>u ( V</t>
    </r>
    <r>
      <rPr>
        <vertAlign val="subscript"/>
        <sz val="12"/>
        <color theme="1"/>
        <rFont val="Arial"/>
        <family val="2"/>
      </rPr>
      <t xml:space="preserve">t </t>
    </r>
    <r>
      <rPr>
        <sz val="12"/>
        <color theme="1"/>
        <rFont val="Arial"/>
        <family val="2"/>
      </rPr>
      <t>)</t>
    </r>
  </si>
  <si>
    <r>
      <t xml:space="preserve">N.C </t>
    </r>
    <r>
      <rPr>
        <b/>
        <i/>
        <sz val="12"/>
        <rFont val="Arial"/>
        <family val="2"/>
      </rPr>
      <t>%</t>
    </r>
  </si>
  <si>
    <r>
      <t>in</t>
    </r>
    <r>
      <rPr>
        <b/>
        <vertAlign val="superscript"/>
        <sz val="12"/>
        <color theme="1"/>
        <rFont val="Arial"/>
        <family val="2"/>
      </rPr>
      <t>3</t>
    </r>
  </si>
  <si>
    <t>Deriva (mL)</t>
  </si>
  <si>
    <t>Puntos de calibración Actual (mL) al 10%</t>
  </si>
  <si>
    <t>Puntos de calibración Anterior (mL) al 10%</t>
  </si>
  <si>
    <t xml:space="preserve">Puntos de calibración Actual (mL) al 50% </t>
  </si>
  <si>
    <t>Puntos de calibración Anterior (mL) al 50%</t>
  </si>
  <si>
    <t>Puntos de calibración Actual (mL) al 100%</t>
  </si>
  <si>
    <t>Puntos de calibración Anterior (mL) al 100%</t>
  </si>
  <si>
    <t>10 mL a 100mL</t>
  </si>
  <si>
    <t>50 mL a 500 mL</t>
  </si>
  <si>
    <t>100 mL a 500 mL</t>
  </si>
  <si>
    <t>200 mL a 1000 mL</t>
  </si>
  <si>
    <t>Volumen (L) actual según certificado</t>
  </si>
  <si>
    <t>Volumen (L) anterior según certificado</t>
  </si>
  <si>
    <t xml:space="preserve">Deriva </t>
  </si>
  <si>
    <t>% hr</t>
  </si>
  <si>
    <t>Sustituto del Responsable de la Dirección Técnica</t>
  </si>
  <si>
    <t>Responsable de la Dirección Técnica</t>
  </si>
  <si>
    <t>Stivinson Córdoba Sánchez</t>
  </si>
  <si>
    <t>Indicación (Según Certificado)</t>
  </si>
  <si>
    <t>Puntos de calibración</t>
  </si>
  <si>
    <t>Capacidad Nominal en (gal)</t>
  </si>
  <si>
    <t>Temperatura de referencia (°C)</t>
  </si>
  <si>
    <t>V-004  
 Punto 1</t>
  </si>
  <si>
    <t>V-004   
Punto 2</t>
  </si>
  <si>
    <t>V-004  
 Punto 3</t>
  </si>
  <si>
    <t>V-004   
Punto 4</t>
  </si>
  <si>
    <t>V-004  
 Punto 5</t>
  </si>
  <si>
    <t>V-13 
Punto 5</t>
  </si>
  <si>
    <t>V-13 
Punto 20</t>
  </si>
  <si>
    <t>V-13 
Punto 50</t>
  </si>
  <si>
    <t>V-13 
Punto 70</t>
  </si>
  <si>
    <t>V-13 
Punto 100</t>
  </si>
  <si>
    <t>V-13 
Punto 150</t>
  </si>
  <si>
    <t>V-13
 Punto 200</t>
  </si>
  <si>
    <t>Pie de Rey "puntas de exteriores"</t>
  </si>
  <si>
    <t>Pie de Rey "puntas de interiores"</t>
  </si>
  <si>
    <t>V-13 
Punto 200</t>
  </si>
  <si>
    <t>Aceros Euramet cg 21 tabla 1</t>
  </si>
  <si>
    <t>% hr "b" Intersección</t>
  </si>
  <si>
    <t>% hr "m" Pendiente</t>
  </si>
  <si>
    <t>Coeficiente cúbico de expansión térmico del material (IP)</t>
  </si>
  <si>
    <t xml:space="preserve">Coeficiente cúbico de expansión térmico del agua </t>
  </si>
  <si>
    <t>Respecto al Coeficiente cúbico de expansión térmico del material del  " RVP "</t>
  </si>
  <si>
    <t>Respecto al Coeficiente cúbico de expansión térmico del material del " RVC "</t>
  </si>
  <si>
    <t xml:space="preserve">Respecto al Coeficiente cúbico de expansión térmico del agua </t>
  </si>
  <si>
    <t>Respecto al Coeficiente cúbico de expansión térmico del material del " RVP "</t>
  </si>
  <si>
    <t>Intervalos Nominal (Mín. y Máx.)</t>
  </si>
  <si>
    <t>Según indica certificado Mín. y Máx.)</t>
  </si>
  <si>
    <t>Según indica certificado (Mín. y Máx.)</t>
  </si>
  <si>
    <t>Corrección (Según Certificado) mL</t>
  </si>
  <si>
    <t xml:space="preserve">Descargar datos del termohigrómetro utilizado en la calibración-condiciones ambientales máximas y mínimas </t>
  </si>
  <si>
    <t>Información</t>
  </si>
  <si>
    <t xml:space="preserve">Fecha de emisión:  </t>
  </si>
  <si>
    <t>Calibrado por</t>
  </si>
  <si>
    <t>*</t>
  </si>
  <si>
    <t>Los resultados obtenidos en esta calibración, aplican a la información del equipo descrito en el numeral uno (1) del presente certificado.</t>
  </si>
  <si>
    <t>Los resultados obtenidos en el presente certificado se refieren al momento y condiciones en que se realizaron las mediciones.</t>
  </si>
  <si>
    <t>Los laboratorios de la Superintendencia de Industria y Comercio no se responsabilizan de los perjuicios que puedan derivarse del uso inadecuado del equipo calibrado.</t>
  </si>
  <si>
    <t>Se adhiere al equipo calibrado una estampilla identificada con el número del  certificado.</t>
  </si>
  <si>
    <t xml:space="preserve">Se instala el precinto de seguridad, sobre la escala de medición, identificado con los números: </t>
  </si>
  <si>
    <t>El equipo  fue calibrado para suministrar líquido por el método volumétrico, usando agua potable.</t>
  </si>
  <si>
    <t>Se realiza el pre-mojado con un llenado y  drenando en un tiempo mínimo  de 60 s ±10 s.</t>
  </si>
  <si>
    <t>Se efectuaron 3 ciclos de vaciado y llenado para determinar la capacidad del recipiente.</t>
  </si>
  <si>
    <t>**</t>
  </si>
  <si>
    <t>Se efectuaron 3 ciclos de vaciado y llenado para determinar la capacidad del recipiente después de ajuste.</t>
  </si>
  <si>
    <t>En el presente certificado se usa la coma “,” como separador decimal.</t>
  </si>
  <si>
    <t>Este certificado de calibración no puede ser reproducido parcial, ni totalmente,  excepto  con  autorización  del  laboratorio  de la Superintendencia de Industria y Comercio.</t>
  </si>
  <si>
    <t>Para efectos de la calibración se tomo como referencia la escala izquierda de la reglilla graduada.</t>
  </si>
  <si>
    <t>El certificado de calibración sin las firmas autorizadas no es válido.</t>
  </si>
  <si>
    <t>Los resultados de la calibración son trazables al Sistema Internacional (SI).</t>
  </si>
  <si>
    <t>Para la calibración del recipiente volumétrico, se utilizó el método  establecido en el documento normativo guía Euramet cg-21, Vr. 1.0. (04/2013).</t>
  </si>
  <si>
    <t>Laboratorio de calibración de masa y volumen, avenida carrera  50 # 26-55 Int 2,  piso 5.</t>
  </si>
  <si>
    <t>Coeficiente de expansión térmica del material del RVC.</t>
  </si>
  <si>
    <t>Máxima Deriva (mL)</t>
  </si>
  <si>
    <t xml:space="preserve">Fecha: </t>
  </si>
  <si>
    <t>INM 4629</t>
  </si>
  <si>
    <t>INM 4630</t>
  </si>
  <si>
    <t>INM 4626</t>
  </si>
  <si>
    <t>2020-07-07 / 2020-7-08 / 2020-05-29</t>
  </si>
  <si>
    <t>INM  4629 - INM 4630 - INM 4626</t>
  </si>
  <si>
    <t>INM 4610</t>
  </si>
  <si>
    <t>INM 4611</t>
  </si>
  <si>
    <t>INM 4625</t>
  </si>
  <si>
    <t>2020-06-18 / 2020-06-19/ 2020-05-29</t>
  </si>
  <si>
    <t>INM-4610, INM 4611 - INM 4625</t>
  </si>
  <si>
    <t>INM 4608</t>
  </si>
  <si>
    <t>INM 4609</t>
  </si>
  <si>
    <t>INM - 4623</t>
  </si>
  <si>
    <t>2020-06-18 2020-06-19- 2020-05-29</t>
  </si>
  <si>
    <t>INM 4608 - INM 4609 -   INM 4623</t>
  </si>
  <si>
    <t>INM 4627</t>
  </si>
  <si>
    <t>INM 4628</t>
  </si>
  <si>
    <t>INM 4624</t>
  </si>
  <si>
    <t>2020-07-07 / 2020-07-08 / 2020-05-29</t>
  </si>
  <si>
    <t>INM-4627-INM 4628-INM 4624</t>
  </si>
  <si>
    <r>
      <t>Coeficiente cubico de expansión térmico del material (°C</t>
    </r>
    <r>
      <rPr>
        <b/>
        <vertAlign val="superscript"/>
        <sz val="12"/>
        <color theme="1"/>
        <rFont val="Arial"/>
        <family val="2"/>
      </rPr>
      <t>-1</t>
    </r>
    <r>
      <rPr>
        <b/>
        <sz val="12"/>
        <color theme="1"/>
        <rFont val="Arial"/>
        <family val="2"/>
      </rPr>
      <t>)</t>
    </r>
  </si>
  <si>
    <r>
      <t>Coeficiente cubico de expansión térmico del material (IP)  ( °C</t>
    </r>
    <r>
      <rPr>
        <b/>
        <vertAlign val="superscript"/>
        <sz val="12"/>
        <color theme="1"/>
        <rFont val="Arial"/>
        <family val="2"/>
      </rPr>
      <t>-1</t>
    </r>
    <r>
      <rPr>
        <b/>
        <sz val="12"/>
        <color theme="1"/>
        <rFont val="Arial"/>
        <family val="2"/>
      </rPr>
      <t>)</t>
    </r>
  </si>
  <si>
    <r>
      <t xml:space="preserve">División de Escala  in </t>
    </r>
    <r>
      <rPr>
        <vertAlign val="superscript"/>
        <sz val="12"/>
        <color theme="1"/>
        <rFont val="Arial"/>
        <family val="2"/>
      </rPr>
      <t>3</t>
    </r>
  </si>
  <si>
    <r>
      <t>0,25 in</t>
    </r>
    <r>
      <rPr>
        <vertAlign val="superscript"/>
        <sz val="12"/>
        <color theme="1"/>
        <rFont val="Arial"/>
        <family val="2"/>
      </rPr>
      <t>3</t>
    </r>
  </si>
  <si>
    <r>
      <t>0,5 in</t>
    </r>
    <r>
      <rPr>
        <vertAlign val="superscript"/>
        <sz val="12"/>
        <color theme="1"/>
        <rFont val="Arial"/>
        <family val="2"/>
      </rPr>
      <t>3</t>
    </r>
  </si>
  <si>
    <r>
      <t>1 in</t>
    </r>
    <r>
      <rPr>
        <vertAlign val="superscript"/>
        <sz val="12"/>
        <color theme="1"/>
        <rFont val="Arial"/>
        <family val="2"/>
      </rPr>
      <t>3</t>
    </r>
  </si>
  <si>
    <t>Código interno       LCV-XX-XXXXX          N° Radicado</t>
  </si>
  <si>
    <r>
      <t xml:space="preserve">Unidades en   " °C ,  %hr  </t>
    </r>
    <r>
      <rPr>
        <sz val="14"/>
        <color theme="0"/>
        <rFont val="Arial"/>
        <family val="2"/>
      </rPr>
      <t>y</t>
    </r>
    <r>
      <rPr>
        <b/>
        <sz val="14"/>
        <color theme="0"/>
        <rFont val="Arial"/>
        <family val="2"/>
      </rPr>
      <t xml:space="preserve"> hPa " </t>
    </r>
    <r>
      <rPr>
        <sz val="14"/>
        <color theme="0"/>
        <rFont val="Arial"/>
        <family val="2"/>
      </rPr>
      <t xml:space="preserve"> según corresponda</t>
    </r>
  </si>
  <si>
    <t>INM 4538</t>
  </si>
  <si>
    <t>INM 4539</t>
  </si>
  <si>
    <t>INM  4580</t>
  </si>
  <si>
    <t>Hora Final</t>
  </si>
  <si>
    <t>L</t>
  </si>
  <si>
    <t>U exp (mL)</t>
  </si>
  <si>
    <t>"Z" limite superior</t>
  </si>
  <si>
    <t>Pc conformidad</t>
  </si>
  <si>
    <t>Pc no conformidad</t>
  </si>
  <si>
    <r>
      <t>Coeficiente cubico de expansión térmico del material ( °C</t>
    </r>
    <r>
      <rPr>
        <b/>
        <vertAlign val="superscript"/>
        <sz val="12"/>
        <color theme="0"/>
        <rFont val="Arial"/>
        <family val="2"/>
      </rPr>
      <t>-1</t>
    </r>
    <r>
      <rPr>
        <b/>
        <sz val="12"/>
        <color theme="0"/>
        <rFont val="Arial"/>
        <family val="2"/>
      </rPr>
      <t>)</t>
    </r>
  </si>
  <si>
    <t>Error indicación (mL)</t>
  </si>
  <si>
    <t>Resee</t>
  </si>
  <si>
    <t>CMK-TFA-19398</t>
  </si>
  <si>
    <t>INM 4703</t>
  </si>
  <si>
    <t xml:space="preserve">2019-09-24  / 2019-09-25  / 2020-10-02 </t>
  </si>
  <si>
    <t>INM 4216 - INM 4217 -  INM 4703</t>
  </si>
  <si>
    <r>
      <t>Adicionar / Sustraer  (in</t>
    </r>
    <r>
      <rPr>
        <vertAlign val="superscript"/>
        <sz val="12"/>
        <color theme="0"/>
        <rFont val="Arial"/>
        <family val="2"/>
      </rPr>
      <t>3)</t>
    </r>
  </si>
  <si>
    <r>
      <t>Intervalo de la escala RV en  ±  1 %, ± 10 in</t>
    </r>
    <r>
      <rPr>
        <b/>
        <vertAlign val="superscript"/>
        <sz val="14"/>
        <color theme="0"/>
        <rFont val="Arial"/>
        <family val="2"/>
      </rPr>
      <t>3</t>
    </r>
  </si>
  <si>
    <r>
      <t xml:space="preserve">Adicionar / Sustraer </t>
    </r>
    <r>
      <rPr>
        <vertAlign val="superscript"/>
        <sz val="12"/>
        <color theme="0"/>
        <rFont val="Arial"/>
        <family val="2"/>
      </rPr>
      <t xml:space="preserve"> (in3)</t>
    </r>
  </si>
  <si>
    <t>Temperatura de referencia en el RVC.</t>
  </si>
  <si>
    <t>"La incertidumbre expandida de la medición reportada se establece como la incertidumbre estándar de medición multiplicada por el factor de cobertura "k",y la probabilidad de cobertura,  la cual debe ser aproximada al 95 % y no menor a este valor".</t>
  </si>
  <si>
    <t>Temperatura de referencia °C</t>
  </si>
  <si>
    <t xml:space="preserve">INM 5053 </t>
  </si>
  <si>
    <t>INM 4720</t>
  </si>
  <si>
    <t>El laboratorio no se responsabiliza de los resultados que puedan ser afectados por la desviación del estado en que se recibió el equipo.</t>
  </si>
  <si>
    <t>La verificación de la escala no hace parte del alcance reportado para el alcance acreditado.</t>
  </si>
  <si>
    <t>La incertidumbre estándar de medición se multiplica por un factor de cobertura "k"=2.</t>
  </si>
  <si>
    <t>(* RVC) Recipiente volumétrico calibrado         (*RVP) Recipiente volumétrico patrón.</t>
  </si>
  <si>
    <t>La escala fue verificada en el intervalo de medición 5 galones ±  1 %, ± 10 in3.</t>
  </si>
  <si>
    <r>
      <t>T</t>
    </r>
    <r>
      <rPr>
        <b/>
        <vertAlign val="subscript"/>
        <sz val="12"/>
        <color theme="1"/>
        <rFont val="Arial"/>
        <family val="2"/>
      </rPr>
      <t>U</t>
    </r>
    <r>
      <rPr>
        <b/>
        <sz val="12"/>
        <color theme="1"/>
        <rFont val="Arial"/>
        <family val="2"/>
      </rPr>
      <t xml:space="preserve"> </t>
    </r>
    <r>
      <rPr>
        <b/>
        <vertAlign val="subscript"/>
        <sz val="12"/>
        <color theme="1"/>
        <rFont val="Arial"/>
        <family val="2"/>
      </rPr>
      <t>(EMP + (mL))</t>
    </r>
  </si>
  <si>
    <r>
      <t>T</t>
    </r>
    <r>
      <rPr>
        <b/>
        <vertAlign val="subscript"/>
        <sz val="12"/>
        <color theme="1"/>
        <rFont val="Arial"/>
        <family val="2"/>
      </rPr>
      <t>L</t>
    </r>
    <r>
      <rPr>
        <b/>
        <sz val="12"/>
        <color theme="1"/>
        <rFont val="Arial"/>
        <family val="2"/>
      </rPr>
      <t xml:space="preserve"> </t>
    </r>
    <r>
      <rPr>
        <b/>
        <vertAlign val="subscript"/>
        <sz val="12"/>
        <color theme="1"/>
        <rFont val="Arial"/>
        <family val="2"/>
      </rPr>
      <t>(EMP - (mL))</t>
    </r>
  </si>
  <si>
    <t>Volumen nominal del RV</t>
  </si>
  <si>
    <t>Volumen Indicado del RV BC antes de ajuste</t>
  </si>
  <si>
    <t>CORRECCIÓN DDA</t>
  </si>
  <si>
    <t xml:space="preserve">CORRECCIÓN </t>
  </si>
  <si>
    <t>CONDICIONES AMBIENTALES</t>
  </si>
  <si>
    <t>ANTES</t>
  </si>
  <si>
    <t>DESPUES</t>
  </si>
  <si>
    <t>mL °C</t>
  </si>
  <si>
    <t xml:space="preserve">Después de ajuste </t>
  </si>
  <si>
    <t>Hora de inicio</t>
  </si>
  <si>
    <r>
      <t>in</t>
    </r>
    <r>
      <rPr>
        <b/>
        <i/>
        <vertAlign val="superscript"/>
        <sz val="12"/>
        <rFont val="Arial"/>
        <family val="2"/>
      </rPr>
      <t>3</t>
    </r>
  </si>
  <si>
    <t>Cumple</t>
  </si>
  <si>
    <t>anova de un factor</t>
  </si>
  <si>
    <t>normal</t>
  </si>
  <si>
    <t>MAX °C</t>
  </si>
  <si>
    <t>MIN °C</t>
  </si>
  <si>
    <t>MAX % hr</t>
  </si>
  <si>
    <t>MIN % hr</t>
  </si>
  <si>
    <t>MAX hPa</t>
  </si>
  <si>
    <t>MIN hPa</t>
  </si>
  <si>
    <t>Aporte a la Incertidumbre</t>
  </si>
  <si>
    <r>
      <t>in</t>
    </r>
    <r>
      <rPr>
        <b/>
        <vertAlign val="superscript"/>
        <sz val="12"/>
        <rFont val="Arial"/>
        <family val="2"/>
      </rPr>
      <t>3</t>
    </r>
  </si>
  <si>
    <t>Anova de un factor</t>
  </si>
  <si>
    <t xml:space="preserve">Mínima </t>
  </si>
  <si>
    <t>Temperatura (°C)</t>
  </si>
  <si>
    <t>Humedad relativa (% hr)</t>
  </si>
  <si>
    <r>
      <t>in</t>
    </r>
    <r>
      <rPr>
        <b/>
        <i/>
        <vertAlign val="superscript"/>
        <sz val="12"/>
        <color theme="0"/>
        <rFont val="Arial"/>
        <family val="2"/>
      </rPr>
      <t>3</t>
    </r>
  </si>
  <si>
    <t>Informe N°</t>
  </si>
  <si>
    <t>4.   REGISTRO FOTOGRÁFICO</t>
  </si>
  <si>
    <t>5.  OBSERVACIONES</t>
  </si>
  <si>
    <t>La declaración de conformidad se aplica teniendo en cuenta el error más la incertidumbre de medición, la cual no deberá superar los errores máximos permitidos (EMP), según lo definido en la OIML R 120:2010, numeral 2.2.2.2.</t>
  </si>
  <si>
    <t>Incertidumbre por repetibilidad del método</t>
  </si>
  <si>
    <t>"Z" limite inferior</t>
  </si>
  <si>
    <t>Probabilidad de conformidad y no conformidad Después de ajuste</t>
  </si>
  <si>
    <t>Volumen Indicado del RV BC Después de ajuste</t>
  </si>
  <si>
    <t>Probabilidad de conformidad y no conformidad antes de ajuste</t>
  </si>
  <si>
    <t>Posición gráfico</t>
  </si>
  <si>
    <t xml:space="preserve">Máxima </t>
  </si>
  <si>
    <t>Máxima</t>
  </si>
  <si>
    <t>Presión atmosférica (hPa)</t>
  </si>
  <si>
    <t>Modificación al Certificado N°</t>
  </si>
  <si>
    <t>ANÁLISIS DE DATOS INTERPOLACIÓN (mL)</t>
  </si>
  <si>
    <t>INTERPOLACIÓN CERTIFICADO DE CALIBRACIÓN</t>
  </si>
  <si>
    <t>Lugar de verificación de la escala</t>
  </si>
  <si>
    <t>Fecha de verificación de la escala</t>
  </si>
  <si>
    <r>
      <t>in</t>
    </r>
    <r>
      <rPr>
        <vertAlign val="superscript"/>
        <sz val="12"/>
        <color theme="0"/>
        <rFont val="Arial"/>
        <family val="2"/>
      </rPr>
      <t>3</t>
    </r>
  </si>
  <si>
    <t>Mínimo corregido</t>
  </si>
  <si>
    <t>Máximo corregido</t>
  </si>
  <si>
    <r>
      <t>in</t>
    </r>
    <r>
      <rPr>
        <vertAlign val="superscript"/>
        <sz val="10"/>
        <color theme="0"/>
        <rFont val="Arial"/>
        <family val="2"/>
      </rPr>
      <t>3</t>
    </r>
  </si>
  <si>
    <r>
      <t xml:space="preserve">Las condiciones ambientales </t>
    </r>
    <r>
      <rPr>
        <sz val="12"/>
        <color rgb="FFFF0000"/>
        <rFont val="Arial"/>
        <family val="2"/>
      </rPr>
      <t>máximas y mínimas</t>
    </r>
    <r>
      <rPr>
        <sz val="12"/>
        <rFont val="Arial"/>
        <family val="2"/>
      </rPr>
      <t xml:space="preserve">  promedio corregidas en el laboratorio durante la calibración fueron las siguientes:</t>
    </r>
  </si>
  <si>
    <r>
      <t xml:space="preserve">Las condiciones ambientales </t>
    </r>
    <r>
      <rPr>
        <sz val="12"/>
        <color rgb="FFFF0000"/>
        <rFont val="Arial"/>
        <family val="2"/>
      </rPr>
      <t xml:space="preserve">máximas y mínimas </t>
    </r>
    <r>
      <rPr>
        <sz val="12"/>
        <rFont val="Arial"/>
        <family val="2"/>
      </rPr>
      <t xml:space="preserve"> promedio corregidas en el laboratorio durante la calibración fueron las siguientes: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</si>
</sst>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7">
    <numFmt numFmtId="164" formatCode="0.00000"/>
    <numFmt numFmtId="165" formatCode="0.0000"/>
    <numFmt numFmtId="166" formatCode="0.000"/>
    <numFmt numFmtId="167" formatCode="0.0"/>
    <numFmt numFmtId="168" formatCode="0.000000"/>
    <numFmt numFmtId="169" formatCode="yyyy\-mm\-dd;@"/>
    <numFmt numFmtId="170" formatCode="0.000000000"/>
    <numFmt numFmtId="171" formatCode="0.0000000"/>
    <numFmt numFmtId="172" formatCode="0.0_ \ &quot;hPa&quot;"/>
    <numFmt numFmtId="173" formatCode="0\ &quot;°C&quot;"/>
    <numFmt numFmtId="174" formatCode="#,##0.0"/>
    <numFmt numFmtId="175" formatCode="#,##0.000"/>
    <numFmt numFmtId="176" formatCode="#\ ##0.00"/>
    <numFmt numFmtId="177" formatCode="0\ 000.0"/>
    <numFmt numFmtId="178" formatCode="0.00\ &quot;mL&quot;"/>
    <numFmt numFmtId="179" formatCode="\5\ &quot;gal&quot;"/>
    <numFmt numFmtId="180" formatCode="00\ 000.0"/>
    <numFmt numFmtId="181" formatCode="0\ 000.00"/>
    <numFmt numFmtId="182" formatCode="0.000.E+00"/>
    <numFmt numFmtId="183" formatCode="0.E+00"/>
    <numFmt numFmtId="184" formatCode="0.00\ &quot;°C&quot;"/>
    <numFmt numFmtId="185" formatCode="0.00\ \°\C"/>
    <numFmt numFmtId="186" formatCode="0.00000000"/>
    <numFmt numFmtId="187" formatCode="0.0000000000"/>
    <numFmt numFmtId="188" formatCode="0.0_ "/>
    <numFmt numFmtId="189" formatCode="0.0_ \ "/>
    <numFmt numFmtId="190" formatCode="00\ 000.00"/>
  </numFmts>
  <fonts count="80"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b/>
      <sz val="12"/>
      <color theme="1"/>
      <name val="Arial"/>
      <family val="2"/>
    </font>
    <font>
      <sz val="12"/>
      <color theme="1"/>
      <name val="Arial"/>
      <family val="2"/>
    </font>
    <font>
      <b/>
      <sz val="14"/>
      <color theme="1"/>
      <name val="Arial"/>
      <family val="2"/>
    </font>
    <font>
      <b/>
      <sz val="12"/>
      <color rgb="FF000000"/>
      <name val="Arial"/>
      <family val="2"/>
    </font>
    <font>
      <b/>
      <sz val="10"/>
      <color theme="1"/>
      <name val="Arial"/>
      <family val="2"/>
    </font>
    <font>
      <sz val="12"/>
      <color theme="1"/>
      <name val="Arial Narrow"/>
      <family val="2"/>
    </font>
    <font>
      <sz val="12"/>
      <color rgb="FF006100"/>
      <name val="Tahoma"/>
      <family val="2"/>
    </font>
    <font>
      <b/>
      <sz val="12"/>
      <color theme="0"/>
      <name val="Arial"/>
      <family val="2"/>
    </font>
    <font>
      <b/>
      <sz val="12"/>
      <name val="Arial"/>
      <family val="2"/>
    </font>
    <font>
      <i/>
      <sz val="12"/>
      <color theme="1"/>
      <name val="Arial"/>
      <family val="2"/>
    </font>
    <font>
      <b/>
      <sz val="10"/>
      <name val="Arial"/>
      <family val="2"/>
    </font>
    <font>
      <sz val="10"/>
      <color theme="1"/>
      <name val="Arial"/>
      <family val="2"/>
    </font>
    <font>
      <b/>
      <vertAlign val="subscript"/>
      <sz val="12"/>
      <color theme="1"/>
      <name val="Arial"/>
      <family val="2"/>
    </font>
    <font>
      <b/>
      <sz val="14"/>
      <color theme="0"/>
      <name val="Arial"/>
      <family val="2"/>
    </font>
    <font>
      <b/>
      <sz val="8"/>
      <color theme="1"/>
      <name val="Arial"/>
      <family val="2"/>
    </font>
    <font>
      <b/>
      <vertAlign val="superscript"/>
      <sz val="10"/>
      <color theme="1"/>
      <name val="Arial"/>
      <family val="2"/>
    </font>
    <font>
      <i/>
      <vertAlign val="subscript"/>
      <sz val="12"/>
      <color theme="1"/>
      <name val="Arial"/>
      <family val="2"/>
    </font>
    <font>
      <vertAlign val="subscript"/>
      <sz val="12"/>
      <color theme="1"/>
      <name val="Arial"/>
      <family val="2"/>
    </font>
    <font>
      <sz val="10"/>
      <name val="Arial"/>
      <family val="2"/>
    </font>
    <font>
      <b/>
      <i/>
      <sz val="12"/>
      <color theme="1"/>
      <name val="Arial"/>
      <family val="2"/>
    </font>
    <font>
      <b/>
      <i/>
      <vertAlign val="subscript"/>
      <sz val="12"/>
      <color theme="1"/>
      <name val="Arial"/>
      <family val="2"/>
    </font>
    <font>
      <b/>
      <sz val="9"/>
      <name val="Arial"/>
      <family val="2"/>
    </font>
    <font>
      <b/>
      <sz val="18"/>
      <color theme="1"/>
      <name val="Arial"/>
      <family val="2"/>
    </font>
    <font>
      <b/>
      <vertAlign val="superscript"/>
      <sz val="12"/>
      <color theme="1"/>
      <name val="Arial"/>
      <family val="2"/>
    </font>
    <font>
      <vertAlign val="superscript"/>
      <sz val="12"/>
      <color theme="1"/>
      <name val="Arial"/>
      <family val="2"/>
    </font>
    <font>
      <b/>
      <vertAlign val="subscript"/>
      <sz val="14"/>
      <color theme="0"/>
      <name val="Arial"/>
      <family val="2"/>
    </font>
    <font>
      <b/>
      <sz val="14"/>
      <color rgb="FFFFFFFF"/>
      <name val="Arial"/>
      <family val="2"/>
    </font>
    <font>
      <b/>
      <vertAlign val="subscript"/>
      <sz val="14"/>
      <color rgb="FFFFFFFF"/>
      <name val="Arial"/>
      <family val="2"/>
    </font>
    <font>
      <b/>
      <vertAlign val="superscript"/>
      <sz val="14"/>
      <color rgb="FFFFFFFF"/>
      <name val="Arial"/>
      <family val="2"/>
    </font>
    <font>
      <sz val="14"/>
      <color theme="0"/>
      <name val="Arial"/>
      <family val="2"/>
    </font>
    <font>
      <sz val="12"/>
      <color rgb="FF000000"/>
      <name val="Arial"/>
      <family val="2"/>
    </font>
    <font>
      <sz val="12"/>
      <name val="Arial"/>
      <family val="2"/>
    </font>
    <font>
      <vertAlign val="superscript"/>
      <sz val="12"/>
      <name val="Arial"/>
      <family val="2"/>
    </font>
    <font>
      <sz val="12"/>
      <color theme="0"/>
      <name val="Arial"/>
      <family val="2"/>
    </font>
    <font>
      <b/>
      <i/>
      <sz val="12"/>
      <name val="Arial"/>
      <family val="2"/>
    </font>
    <font>
      <b/>
      <i/>
      <vertAlign val="superscript"/>
      <sz val="12"/>
      <color theme="1"/>
      <name val="Arial"/>
      <family val="2"/>
    </font>
    <font>
      <sz val="11"/>
      <color rgb="FF006100"/>
      <name val="Calibri"/>
      <family val="2"/>
      <scheme val="minor"/>
    </font>
    <font>
      <vertAlign val="superscript"/>
      <sz val="14"/>
      <color rgb="FFFFFFFF"/>
      <name val="Arial"/>
      <family val="2"/>
    </font>
    <font>
      <b/>
      <vertAlign val="superscript"/>
      <sz val="18"/>
      <color rgb="FFFFFFFF"/>
      <name val="Arial"/>
      <family val="2"/>
    </font>
    <font>
      <sz val="11"/>
      <color rgb="FFFFFFFF"/>
      <name val="Arial"/>
      <family val="2"/>
    </font>
    <font>
      <b/>
      <i/>
      <sz val="12"/>
      <name val="Tahoma"/>
      <family val="2"/>
    </font>
    <font>
      <sz val="9"/>
      <color indexed="81"/>
      <name val="Tahoma"/>
      <family val="2"/>
    </font>
    <font>
      <b/>
      <sz val="9"/>
      <color indexed="81"/>
      <name val="Tahoma"/>
      <family val="2"/>
    </font>
    <font>
      <b/>
      <i/>
      <sz val="12"/>
      <color theme="0"/>
      <name val="Arial"/>
      <family val="2"/>
    </font>
    <font>
      <sz val="12"/>
      <color theme="1"/>
      <name val="Calibri"/>
      <family val="2"/>
      <scheme val="minor"/>
    </font>
    <font>
      <b/>
      <vertAlign val="superscript"/>
      <sz val="12"/>
      <color rgb="FF000000"/>
      <name val="Arial"/>
      <family val="2"/>
    </font>
    <font>
      <u/>
      <sz val="12"/>
      <color theme="1"/>
      <name val="Arial"/>
      <family val="2"/>
    </font>
    <font>
      <sz val="12"/>
      <name val="Calibri"/>
      <family val="2"/>
      <scheme val="minor"/>
    </font>
    <font>
      <sz val="12"/>
      <color rgb="FFFFFFFF"/>
      <name val="Arial"/>
      <family val="2"/>
    </font>
    <font>
      <b/>
      <i/>
      <sz val="14"/>
      <color theme="0"/>
      <name val="Arial"/>
      <family val="2"/>
    </font>
    <font>
      <b/>
      <vertAlign val="superscript"/>
      <sz val="14"/>
      <color theme="0"/>
      <name val="Arial"/>
      <family val="2"/>
    </font>
    <font>
      <b/>
      <sz val="12"/>
      <color theme="1"/>
      <name val="Arial Narrow"/>
      <family val="2"/>
    </font>
    <font>
      <sz val="11"/>
      <color theme="1"/>
      <name val="Calibri"/>
      <family val="2"/>
      <scheme val="minor"/>
    </font>
    <font>
      <b/>
      <vertAlign val="superscript"/>
      <sz val="12"/>
      <color theme="0"/>
      <name val="Arial"/>
      <family val="2"/>
    </font>
    <font>
      <sz val="11"/>
      <name val="Calibri"/>
      <family val="2"/>
      <scheme val="minor"/>
    </font>
    <font>
      <vertAlign val="superscript"/>
      <sz val="12"/>
      <color theme="0"/>
      <name val="Arial"/>
      <family val="2"/>
    </font>
    <font>
      <sz val="12"/>
      <name val="Arial Narrow"/>
      <family val="2"/>
    </font>
    <font>
      <b/>
      <sz val="12"/>
      <name val="Arial Narrow"/>
      <family val="2"/>
    </font>
    <font>
      <b/>
      <i/>
      <sz val="12"/>
      <name val="Arial Narrow"/>
      <family val="2"/>
    </font>
    <font>
      <sz val="11"/>
      <name val="Arial"/>
      <family val="2"/>
    </font>
    <font>
      <b/>
      <i/>
      <sz val="11"/>
      <name val="Arial"/>
      <family val="2"/>
    </font>
    <font>
      <i/>
      <sz val="11"/>
      <name val="Arial"/>
      <family val="2"/>
    </font>
    <font>
      <b/>
      <sz val="11"/>
      <name val="Arial"/>
      <family val="2"/>
    </font>
    <font>
      <sz val="11"/>
      <name val="Arial Narrow"/>
      <family val="2"/>
    </font>
    <font>
      <sz val="10"/>
      <name val="Arial Narrow"/>
      <family val="2"/>
    </font>
    <font>
      <i/>
      <sz val="12"/>
      <name val="Arial"/>
      <family val="2"/>
    </font>
    <font>
      <b/>
      <i/>
      <vertAlign val="superscript"/>
      <sz val="12"/>
      <name val="Arial"/>
      <family val="2"/>
    </font>
    <font>
      <b/>
      <vertAlign val="superscript"/>
      <sz val="12"/>
      <name val="Arial"/>
      <family val="2"/>
    </font>
    <font>
      <b/>
      <i/>
      <vertAlign val="superscript"/>
      <sz val="12"/>
      <color theme="0"/>
      <name val="Arial"/>
      <family val="2"/>
    </font>
    <font>
      <b/>
      <sz val="11"/>
      <color theme="0"/>
      <name val="Calibri"/>
      <family val="2"/>
      <scheme val="minor"/>
    </font>
    <font>
      <sz val="10"/>
      <color theme="0"/>
      <name val="Arial"/>
      <family val="2"/>
    </font>
    <font>
      <b/>
      <sz val="12"/>
      <color rgb="FFFF0000"/>
      <name val="Arial"/>
      <family val="2"/>
    </font>
    <font>
      <sz val="12"/>
      <color rgb="FFFF0000"/>
      <name val="Arial"/>
      <family val="2"/>
    </font>
    <font>
      <vertAlign val="superscript"/>
      <sz val="10"/>
      <color theme="0"/>
      <name val="Arial"/>
      <family val="2"/>
    </font>
  </fonts>
  <fills count="33">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theme="4" tint="-0.499984740745262"/>
        <bgColor indexed="64"/>
      </patternFill>
    </fill>
    <fill>
      <patternFill patternType="solid">
        <fgColor rgb="FF9BC2E6"/>
        <bgColor indexed="64"/>
      </patternFill>
    </fill>
    <fill>
      <patternFill patternType="solid">
        <fgColor rgb="FFFCE4D6"/>
        <bgColor indexed="64"/>
      </patternFill>
    </fill>
    <fill>
      <patternFill patternType="solid">
        <fgColor rgb="FFDDEBF7"/>
        <bgColor indexed="64"/>
      </patternFill>
    </fill>
    <fill>
      <patternFill patternType="solid">
        <fgColor rgb="FF1F4E78"/>
        <bgColor indexed="64"/>
      </patternFill>
    </fill>
    <fill>
      <patternFill patternType="solid">
        <fgColor rgb="FFFF0000"/>
        <bgColor indexed="64"/>
      </patternFill>
    </fill>
    <fill>
      <patternFill patternType="solid">
        <fgColor rgb="FFC6EFCE"/>
      </patternFill>
    </fill>
    <fill>
      <patternFill patternType="solid">
        <fgColor rgb="FFF2DCDB"/>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FF00"/>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rgb="FF0070C0"/>
        <bgColor indexed="64"/>
      </patternFill>
    </fill>
    <fill>
      <patternFill patternType="solid">
        <fgColor rgb="FF538DD5"/>
        <bgColor indexed="64"/>
      </patternFill>
    </fill>
    <fill>
      <patternFill patternType="solid">
        <fgColor rgb="FF91C6F7"/>
        <bgColor indexed="64"/>
      </patternFill>
    </fill>
    <fill>
      <patternFill patternType="solid">
        <fgColor rgb="FFC8E2FB"/>
        <bgColor indexed="64"/>
      </patternFill>
    </fill>
    <fill>
      <patternFill patternType="solid">
        <fgColor rgb="FF81B0E4"/>
        <bgColor indexed="64"/>
      </patternFill>
    </fill>
    <fill>
      <patternFill patternType="darkGray">
        <bgColor rgb="FFFFFF00"/>
      </patternFill>
    </fill>
    <fill>
      <gradientFill degree="90">
        <stop position="0">
          <color theme="0"/>
        </stop>
        <stop position="1">
          <color rgb="FFFFFF00"/>
        </stop>
      </gradientFill>
    </fill>
    <fill>
      <gradientFill type="path" left="1" right="1">
        <stop position="0">
          <color rgb="FF7030A0"/>
        </stop>
        <stop position="1">
          <color rgb="FFFFFF00"/>
        </stop>
      </gradientFill>
    </fill>
    <fill>
      <patternFill patternType="solid">
        <fgColor rgb="FF073763"/>
        <bgColor indexed="64"/>
      </patternFill>
    </fill>
    <fill>
      <patternFill patternType="solid">
        <fgColor rgb="FF8DB4E2"/>
        <bgColor indexed="64"/>
      </patternFill>
    </fill>
    <fill>
      <gradientFill degree="90">
        <stop position="0">
          <color rgb="FFFFFF00"/>
        </stop>
        <stop position="1">
          <color rgb="FF7030A0"/>
        </stop>
      </gradientFill>
    </fill>
    <fill>
      <patternFill patternType="darkGray">
        <bgColor rgb="FF0070C0"/>
      </patternFill>
    </fill>
    <fill>
      <patternFill patternType="solid">
        <fgColor theme="8" tint="0.39997558519241921"/>
        <bgColor indexed="64"/>
      </patternFill>
    </fill>
    <fill>
      <patternFill patternType="solid">
        <fgColor rgb="FFAFDF9F"/>
        <bgColor indexed="64"/>
      </patternFill>
    </fill>
    <fill>
      <patternFill patternType="solid">
        <fgColor rgb="FFFF9999"/>
        <bgColor indexed="64"/>
      </patternFill>
    </fill>
    <fill>
      <patternFill patternType="solid">
        <fgColor theme="9" tint="0.59999389629810485"/>
        <bgColor indexed="64"/>
      </patternFill>
    </fill>
  </fills>
  <borders count="85">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top/>
      <bottom style="thin">
        <color indexed="64"/>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thick">
        <color indexed="64"/>
      </right>
      <top/>
      <bottom/>
      <diagonal/>
    </border>
    <border>
      <left style="medium">
        <color indexed="64"/>
      </left>
      <right style="thick">
        <color indexed="64"/>
      </right>
      <top/>
      <bottom style="medium">
        <color indexed="64"/>
      </bottom>
      <diagonal/>
    </border>
    <border>
      <left style="thick">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theme="0"/>
      </left>
      <right style="medium">
        <color theme="0"/>
      </right>
      <top style="medium">
        <color theme="0"/>
      </top>
      <bottom style="medium">
        <color theme="0"/>
      </bottom>
      <diagonal/>
    </border>
    <border>
      <left/>
      <right/>
      <top style="thin">
        <color indexed="64"/>
      </top>
      <bottom/>
      <diagonal/>
    </border>
    <border>
      <left/>
      <right style="thin">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s>
  <cellStyleXfs count="12">
    <xf numFmtId="0" fontId="0" fillId="0" borderId="0"/>
    <xf numFmtId="0" fontId="12" fillId="10" borderId="0" applyNumberFormat="0" applyBorder="0" applyAlignment="0" applyProtection="0"/>
    <xf numFmtId="0" fontId="17" fillId="22" borderId="8">
      <alignment horizontal="center" vertical="center" wrapText="1"/>
    </xf>
    <xf numFmtId="0" fontId="17" fillId="14" borderId="8">
      <alignment horizontal="center" vertical="center" wrapText="1"/>
    </xf>
    <xf numFmtId="0" fontId="17" fillId="23" borderId="8">
      <alignment horizontal="center" vertical="center" wrapText="1"/>
    </xf>
    <xf numFmtId="0" fontId="11" fillId="2" borderId="0">
      <alignment horizontal="center"/>
    </xf>
    <xf numFmtId="0" fontId="11" fillId="24" borderId="0">
      <alignment horizontal="center"/>
    </xf>
    <xf numFmtId="0" fontId="17" fillId="9" borderId="9">
      <alignment horizontal="center"/>
    </xf>
    <xf numFmtId="0" fontId="42" fillId="10" borderId="0" applyNumberFormat="0" applyBorder="0" applyAlignment="0" applyProtection="0"/>
    <xf numFmtId="2" fontId="17" fillId="27" borderId="40" applyFont="0" applyBorder="0" applyAlignment="0">
      <alignment horizontal="center" vertical="center" wrapText="1"/>
      <protection locked="0"/>
    </xf>
    <xf numFmtId="0" fontId="7" fillId="28" borderId="9" applyBorder="0">
      <alignment horizontal="center" vertical="center"/>
    </xf>
    <xf numFmtId="9" fontId="58" fillId="0" borderId="0" applyFont="0" applyFill="0" applyBorder="0" applyAlignment="0" applyProtection="0"/>
  </cellStyleXfs>
  <cellXfs count="2050">
    <xf numFmtId="0" fontId="0" fillId="0" borderId="0" xfId="0"/>
    <xf numFmtId="0" fontId="13" fillId="8" borderId="47" xfId="0" applyFont="1" applyFill="1" applyBorder="1" applyAlignment="1" applyProtection="1">
      <alignment horizontal="center" vertical="center" wrapText="1"/>
      <protection hidden="1"/>
    </xf>
    <xf numFmtId="2" fontId="27" fillId="16" borderId="19" xfId="1" applyNumberFormat="1" applyFont="1" applyFill="1" applyBorder="1" applyAlignment="1" applyProtection="1">
      <alignment horizontal="center" vertical="center"/>
      <protection hidden="1"/>
    </xf>
    <xf numFmtId="2" fontId="27" fillId="16" borderId="22" xfId="1" applyNumberFormat="1" applyFont="1" applyFill="1" applyBorder="1" applyAlignment="1" applyProtection="1">
      <alignment horizontal="center" vertical="center" wrapText="1"/>
      <protection hidden="1"/>
    </xf>
    <xf numFmtId="2" fontId="16" fillId="16" borderId="22" xfId="1" applyNumberFormat="1" applyFont="1" applyFill="1" applyBorder="1" applyAlignment="1" applyProtection="1">
      <alignment horizontal="center" vertical="center" wrapText="1"/>
      <protection hidden="1"/>
    </xf>
    <xf numFmtId="0" fontId="7" fillId="0" borderId="0" xfId="0" applyFont="1" applyProtection="1">
      <protection hidden="1"/>
    </xf>
    <xf numFmtId="0" fontId="7" fillId="0" borderId="0" xfId="0" applyFont="1" applyBorder="1" applyProtection="1">
      <protection hidden="1"/>
    </xf>
    <xf numFmtId="0" fontId="7" fillId="0" borderId="6" xfId="0" applyFont="1" applyBorder="1" applyProtection="1">
      <protection hidden="1"/>
    </xf>
    <xf numFmtId="0" fontId="7" fillId="0" borderId="8" xfId="0" applyFont="1" applyBorder="1" applyProtection="1">
      <protection hidden="1"/>
    </xf>
    <xf numFmtId="167" fontId="7" fillId="15" borderId="9" xfId="0" applyNumberFormat="1" applyFont="1" applyFill="1" applyBorder="1" applyAlignment="1" applyProtection="1">
      <alignment horizontal="center" vertical="center" wrapText="1"/>
      <protection hidden="1"/>
    </xf>
    <xf numFmtId="0" fontId="10" fillId="16" borderId="19" xfId="0" applyFont="1" applyFill="1" applyBorder="1" applyAlignment="1" applyProtection="1">
      <alignment horizontal="center" vertical="center" wrapText="1"/>
      <protection hidden="1"/>
    </xf>
    <xf numFmtId="167" fontId="7" fillId="6" borderId="9" xfId="0" applyNumberFormat="1" applyFont="1" applyFill="1" applyBorder="1" applyAlignment="1" applyProtection="1">
      <alignment horizontal="center" vertical="center" wrapText="1"/>
      <protection locked="0" hidden="1"/>
    </xf>
    <xf numFmtId="0" fontId="7" fillId="6" borderId="44" xfId="0" applyFont="1" applyFill="1" applyBorder="1" applyAlignment="1" applyProtection="1">
      <alignment horizontal="center" vertical="center" wrapText="1"/>
      <protection locked="0" hidden="1"/>
    </xf>
    <xf numFmtId="0" fontId="7" fillId="6" borderId="9" xfId="0" applyFont="1" applyFill="1" applyBorder="1" applyAlignment="1" applyProtection="1">
      <alignment horizontal="center" vertical="center" wrapText="1"/>
      <protection locked="0" hidden="1"/>
    </xf>
    <xf numFmtId="0" fontId="11" fillId="24" borderId="1" xfId="6" applyBorder="1" applyAlignment="1" applyProtection="1">
      <alignment horizontal="center" vertical="center"/>
      <protection locked="0" hidden="1"/>
    </xf>
    <xf numFmtId="14" fontId="17" fillId="15" borderId="22" xfId="0" applyNumberFormat="1" applyFont="1" applyFill="1" applyBorder="1" applyAlignment="1" applyProtection="1">
      <alignment horizontal="center" vertical="center" wrapText="1"/>
      <protection hidden="1"/>
    </xf>
    <xf numFmtId="0" fontId="10" fillId="16" borderId="22" xfId="0" applyFont="1" applyFill="1" applyBorder="1" applyAlignment="1" applyProtection="1">
      <alignment horizontal="center" vertical="center" wrapText="1"/>
      <protection hidden="1"/>
    </xf>
    <xf numFmtId="0" fontId="15" fillId="16" borderId="18" xfId="0" applyFont="1" applyFill="1" applyBorder="1" applyAlignment="1" applyProtection="1">
      <alignment horizontal="center" vertical="center" wrapText="1"/>
      <protection hidden="1"/>
    </xf>
    <xf numFmtId="0" fontId="15" fillId="16" borderId="36" xfId="0" applyFont="1" applyFill="1" applyBorder="1" applyAlignment="1" applyProtection="1">
      <alignment horizontal="center" vertical="center" wrapText="1"/>
      <protection hidden="1"/>
    </xf>
    <xf numFmtId="0" fontId="7" fillId="2" borderId="8" xfId="0" applyFont="1" applyFill="1" applyBorder="1" applyAlignment="1" applyProtection="1">
      <alignment vertical="center" wrapText="1"/>
      <protection hidden="1"/>
    </xf>
    <xf numFmtId="0" fontId="7" fillId="2" borderId="0" xfId="0" applyFont="1" applyFill="1" applyBorder="1" applyAlignment="1" applyProtection="1">
      <alignment horizontal="center" vertical="center"/>
      <protection hidden="1"/>
    </xf>
    <xf numFmtId="0" fontId="7" fillId="0" borderId="0" xfId="0" applyFont="1" applyAlignment="1" applyProtection="1">
      <alignment vertical="center" wrapText="1"/>
      <protection hidden="1"/>
    </xf>
    <xf numFmtId="0" fontId="7" fillId="2" borderId="0" xfId="0" applyFont="1" applyFill="1" applyBorder="1" applyAlignment="1" applyProtection="1">
      <alignment vertical="center" wrapText="1"/>
      <protection hidden="1"/>
    </xf>
    <xf numFmtId="0" fontId="6" fillId="2" borderId="0" xfId="0" applyFont="1" applyFill="1" applyBorder="1" applyAlignment="1" applyProtection="1">
      <alignment horizontal="center" vertical="center" wrapText="1"/>
      <protection hidden="1"/>
    </xf>
    <xf numFmtId="0" fontId="7" fillId="2" borderId="0" xfId="0" applyFont="1" applyFill="1" applyAlignment="1" applyProtection="1">
      <alignment vertical="center" wrapText="1"/>
      <protection hidden="1"/>
    </xf>
    <xf numFmtId="0" fontId="7" fillId="2" borderId="0" xfId="0" applyFont="1" applyFill="1" applyProtection="1">
      <protection hidden="1"/>
    </xf>
    <xf numFmtId="11" fontId="7" fillId="2" borderId="0" xfId="0" applyNumberFormat="1" applyFont="1" applyFill="1" applyBorder="1" applyAlignment="1" applyProtection="1">
      <alignment horizontal="center" vertical="center"/>
      <protection hidden="1"/>
    </xf>
    <xf numFmtId="0" fontId="10" fillId="21" borderId="7" xfId="0" applyFont="1" applyFill="1" applyBorder="1" applyAlignment="1" applyProtection="1">
      <alignment horizontal="center" vertical="center" wrapText="1"/>
      <protection hidden="1"/>
    </xf>
    <xf numFmtId="0" fontId="10" fillId="21" borderId="22" xfId="0" applyFont="1" applyFill="1" applyBorder="1" applyAlignment="1" applyProtection="1">
      <alignment horizontal="center" vertical="center" wrapText="1"/>
      <protection hidden="1"/>
    </xf>
    <xf numFmtId="0" fontId="10" fillId="21" borderId="20" xfId="0" applyFont="1" applyFill="1" applyBorder="1" applyAlignment="1" applyProtection="1">
      <alignment horizontal="center" vertical="center" wrapText="1"/>
      <protection hidden="1"/>
    </xf>
    <xf numFmtId="0" fontId="7" fillId="21" borderId="8" xfId="0" applyFont="1" applyFill="1" applyBorder="1" applyAlignment="1" applyProtection="1">
      <alignment horizontal="center" vertical="center"/>
      <protection hidden="1"/>
    </xf>
    <xf numFmtId="0" fontId="7" fillId="2" borderId="0" xfId="1" applyFont="1" applyFill="1" applyBorder="1" applyAlignment="1" applyProtection="1">
      <alignment horizontal="center" vertical="center"/>
      <protection hidden="1"/>
    </xf>
    <xf numFmtId="11" fontId="7" fillId="2" borderId="0" xfId="1" applyNumberFormat="1" applyFont="1" applyFill="1" applyBorder="1" applyAlignment="1" applyProtection="1">
      <alignment horizontal="center" vertical="center"/>
      <protection hidden="1"/>
    </xf>
    <xf numFmtId="1" fontId="17" fillId="15" borderId="19" xfId="0" applyNumberFormat="1" applyFont="1" applyFill="1" applyBorder="1" applyAlignment="1" applyProtection="1">
      <alignment horizontal="center" vertical="center" wrapText="1"/>
      <protection hidden="1"/>
    </xf>
    <xf numFmtId="0" fontId="7" fillId="19" borderId="7" xfId="0" applyFont="1" applyFill="1" applyBorder="1" applyAlignment="1" applyProtection="1">
      <alignment horizontal="center" vertical="center"/>
      <protection hidden="1"/>
    </xf>
    <xf numFmtId="2" fontId="17" fillId="19" borderId="22" xfId="0" applyNumberFormat="1" applyFont="1" applyFill="1" applyBorder="1" applyAlignment="1" applyProtection="1">
      <alignment horizontal="center" vertical="center" wrapText="1"/>
      <protection hidden="1"/>
    </xf>
    <xf numFmtId="1" fontId="17" fillId="15" borderId="22" xfId="0" applyNumberFormat="1" applyFont="1" applyFill="1" applyBorder="1" applyAlignment="1" applyProtection="1">
      <alignment horizontal="center" vertical="center" wrapText="1"/>
      <protection hidden="1"/>
    </xf>
    <xf numFmtId="167" fontId="17" fillId="19" borderId="20" xfId="0" applyNumberFormat="1" applyFont="1" applyFill="1" applyBorder="1" applyAlignment="1" applyProtection="1">
      <alignment horizontal="center" vertical="center" wrapText="1"/>
      <protection hidden="1"/>
    </xf>
    <xf numFmtId="1" fontId="7" fillId="19" borderId="8" xfId="0" applyNumberFormat="1" applyFont="1" applyFill="1" applyBorder="1" applyAlignment="1" applyProtection="1">
      <alignment horizontal="center" vertical="center"/>
      <protection hidden="1"/>
    </xf>
    <xf numFmtId="0" fontId="7" fillId="2" borderId="2" xfId="0" applyFont="1" applyFill="1" applyBorder="1" applyProtection="1">
      <protection hidden="1"/>
    </xf>
    <xf numFmtId="0" fontId="7" fillId="2" borderId="3" xfId="0" applyFont="1" applyFill="1" applyBorder="1" applyProtection="1">
      <protection hidden="1"/>
    </xf>
    <xf numFmtId="0" fontId="7" fillId="2" borderId="10" xfId="0" applyFont="1" applyFill="1" applyBorder="1" applyProtection="1">
      <protection hidden="1"/>
    </xf>
    <xf numFmtId="0" fontId="7" fillId="2" borderId="0" xfId="0" applyFont="1" applyFill="1" applyBorder="1" applyProtection="1">
      <protection hidden="1"/>
    </xf>
    <xf numFmtId="0" fontId="7" fillId="0" borderId="2" xfId="0" applyFont="1" applyBorder="1" applyAlignment="1" applyProtection="1">
      <alignment horizontal="center" vertical="center"/>
      <protection hidden="1"/>
    </xf>
    <xf numFmtId="0" fontId="7" fillId="0" borderId="71" xfId="0" applyFont="1" applyBorder="1" applyAlignment="1" applyProtection="1">
      <alignment horizontal="center" vertical="center"/>
      <protection hidden="1"/>
    </xf>
    <xf numFmtId="0" fontId="6" fillId="2" borderId="75" xfId="0" applyFont="1" applyFill="1" applyBorder="1" applyAlignment="1" applyProtection="1">
      <alignment horizontal="right"/>
      <protection hidden="1"/>
    </xf>
    <xf numFmtId="0" fontId="7" fillId="2" borderId="0" xfId="0" applyFont="1" applyFill="1" applyBorder="1" applyAlignment="1" applyProtection="1">
      <alignment horizontal="right" vertical="top"/>
      <protection hidden="1"/>
    </xf>
    <xf numFmtId="2" fontId="7" fillId="12" borderId="9" xfId="0" applyNumberFormat="1" applyFont="1" applyFill="1" applyBorder="1" applyAlignment="1" applyProtection="1">
      <alignment horizontal="center" vertical="center"/>
      <protection hidden="1"/>
    </xf>
    <xf numFmtId="2" fontId="7" fillId="5" borderId="34" xfId="0" applyNumberFormat="1" applyFont="1" applyFill="1" applyBorder="1" applyAlignment="1" applyProtection="1">
      <alignment horizontal="center" vertical="center"/>
      <protection hidden="1"/>
    </xf>
    <xf numFmtId="2" fontId="17" fillId="15" borderId="56" xfId="0" applyNumberFormat="1" applyFont="1" applyFill="1" applyBorder="1" applyAlignment="1" applyProtection="1">
      <alignment vertical="center" wrapText="1"/>
      <protection hidden="1"/>
    </xf>
    <xf numFmtId="2" fontId="17" fillId="15" borderId="57" xfId="0" applyNumberFormat="1" applyFont="1" applyFill="1" applyBorder="1" applyAlignment="1" applyProtection="1">
      <alignment vertical="center" wrapText="1"/>
      <protection hidden="1"/>
    </xf>
    <xf numFmtId="1" fontId="17" fillId="15" borderId="55" xfId="0" applyNumberFormat="1" applyFont="1" applyFill="1" applyBorder="1" applyAlignment="1" applyProtection="1">
      <alignment vertical="center" wrapText="1"/>
      <protection hidden="1"/>
    </xf>
    <xf numFmtId="1" fontId="17" fillId="15" borderId="61" xfId="0" applyNumberFormat="1" applyFont="1" applyFill="1" applyBorder="1" applyAlignment="1" applyProtection="1">
      <alignment vertical="center" wrapText="1"/>
      <protection hidden="1"/>
    </xf>
    <xf numFmtId="0" fontId="6" fillId="5" borderId="43" xfId="0" applyFont="1" applyFill="1" applyBorder="1" applyAlignment="1" applyProtection="1">
      <alignment horizontal="center" vertical="center"/>
      <protection hidden="1"/>
    </xf>
    <xf numFmtId="0" fontId="7" fillId="12" borderId="37" xfId="0" applyFont="1" applyFill="1" applyBorder="1" applyAlignment="1" applyProtection="1">
      <alignment horizontal="center" vertical="center"/>
      <protection hidden="1"/>
    </xf>
    <xf numFmtId="0" fontId="6" fillId="2" borderId="76" xfId="0" applyFont="1" applyFill="1" applyBorder="1" applyAlignment="1" applyProtection="1">
      <alignment horizontal="right"/>
      <protection hidden="1"/>
    </xf>
    <xf numFmtId="0" fontId="7" fillId="2" borderId="77" xfId="0" applyFont="1" applyFill="1" applyBorder="1" applyAlignment="1" applyProtection="1">
      <alignment horizontal="right" vertical="top"/>
      <protection hidden="1"/>
    </xf>
    <xf numFmtId="0" fontId="7" fillId="2" borderId="5" xfId="0" applyFont="1" applyFill="1" applyBorder="1" applyProtection="1">
      <protection hidden="1"/>
    </xf>
    <xf numFmtId="0" fontId="6" fillId="2" borderId="5" xfId="0" applyFont="1" applyFill="1" applyBorder="1" applyAlignment="1" applyProtection="1">
      <alignment horizontal="center"/>
      <protection hidden="1"/>
    </xf>
    <xf numFmtId="2" fontId="7" fillId="12" borderId="44" xfId="0" applyNumberFormat="1" applyFont="1" applyFill="1" applyBorder="1" applyAlignment="1" applyProtection="1">
      <alignment horizontal="center" vertical="center"/>
      <protection hidden="1"/>
    </xf>
    <xf numFmtId="2" fontId="7" fillId="5" borderId="37" xfId="0" applyNumberFormat="1" applyFont="1" applyFill="1" applyBorder="1" applyAlignment="1" applyProtection="1">
      <alignment horizontal="center" vertical="center"/>
      <protection hidden="1"/>
    </xf>
    <xf numFmtId="0" fontId="6" fillId="2" borderId="7" xfId="0" applyFont="1" applyFill="1" applyBorder="1" applyAlignment="1" applyProtection="1">
      <alignment horizontal="right"/>
      <protection hidden="1"/>
    </xf>
    <xf numFmtId="0" fontId="32" fillId="4" borderId="30" xfId="0" applyFont="1" applyFill="1" applyBorder="1" applyAlignment="1" applyProtection="1">
      <alignment horizontal="center" vertical="center" wrapText="1"/>
      <protection hidden="1"/>
    </xf>
    <xf numFmtId="2" fontId="7" fillId="12" borderId="53" xfId="0" applyNumberFormat="1" applyFont="1" applyFill="1" applyBorder="1" applyAlignment="1" applyProtection="1">
      <alignment horizontal="center" vertical="center"/>
      <protection hidden="1"/>
    </xf>
    <xf numFmtId="2" fontId="7" fillId="13" borderId="36" xfId="0" applyNumberFormat="1" applyFont="1" applyFill="1" applyBorder="1" applyAlignment="1" applyProtection="1">
      <alignment horizontal="center" vertical="center"/>
      <protection hidden="1"/>
    </xf>
    <xf numFmtId="0" fontId="8" fillId="4" borderId="32" xfId="0" applyFont="1" applyFill="1" applyBorder="1" applyAlignment="1" applyProtection="1">
      <alignment vertical="top" wrapText="1"/>
      <protection hidden="1"/>
    </xf>
    <xf numFmtId="165" fontId="7" fillId="12" borderId="34" xfId="0" applyNumberFormat="1" applyFont="1" applyFill="1" applyBorder="1" applyAlignment="1" applyProtection="1">
      <alignment horizontal="center" vertical="center"/>
      <protection hidden="1"/>
    </xf>
    <xf numFmtId="0" fontId="7" fillId="2" borderId="0" xfId="1" applyFont="1" applyFill="1" applyBorder="1" applyAlignment="1" applyProtection="1">
      <protection hidden="1"/>
    </xf>
    <xf numFmtId="0" fontId="8" fillId="4" borderId="43" xfId="0" applyFont="1" applyFill="1" applyBorder="1" applyAlignment="1" applyProtection="1">
      <alignment vertical="center" wrapText="1"/>
      <protection hidden="1"/>
    </xf>
    <xf numFmtId="2" fontId="7" fillId="13" borderId="37" xfId="0" applyNumberFormat="1" applyFont="1" applyFill="1" applyBorder="1" applyAlignment="1" applyProtection="1">
      <alignment horizontal="center" vertical="center"/>
      <protection hidden="1"/>
    </xf>
    <xf numFmtId="167" fontId="7" fillId="2" borderId="0" xfId="1" applyNumberFormat="1" applyFont="1" applyFill="1" applyBorder="1" applyProtection="1">
      <protection hidden="1"/>
    </xf>
    <xf numFmtId="9" fontId="7" fillId="2" borderId="0" xfId="0" applyNumberFormat="1" applyFont="1" applyFill="1" applyBorder="1" applyAlignment="1" applyProtection="1">
      <alignment horizontal="center" vertical="center"/>
      <protection hidden="1"/>
    </xf>
    <xf numFmtId="0" fontId="7" fillId="5" borderId="30" xfId="1" applyFont="1" applyFill="1" applyBorder="1" applyAlignment="1" applyProtection="1">
      <alignment horizontal="center" vertical="center"/>
      <protection hidden="1"/>
    </xf>
    <xf numFmtId="0" fontId="7" fillId="5" borderId="18" xfId="1" applyFont="1" applyFill="1" applyBorder="1" applyAlignment="1" applyProtection="1">
      <alignment horizontal="center" vertical="center"/>
      <protection hidden="1"/>
    </xf>
    <xf numFmtId="0" fontId="6" fillId="3" borderId="20" xfId="0" applyFont="1" applyFill="1" applyBorder="1" applyAlignment="1" applyProtection="1">
      <alignment horizontal="center" vertical="center"/>
      <protection hidden="1"/>
    </xf>
    <xf numFmtId="166" fontId="7" fillId="2" borderId="5" xfId="0" applyNumberFormat="1" applyFont="1" applyFill="1" applyBorder="1" applyProtection="1">
      <protection hidden="1"/>
    </xf>
    <xf numFmtId="0" fontId="6" fillId="5" borderId="30" xfId="0" applyFont="1" applyFill="1" applyBorder="1" applyAlignment="1" applyProtection="1">
      <alignment horizontal="center" vertical="center"/>
      <protection hidden="1"/>
    </xf>
    <xf numFmtId="0" fontId="6" fillId="5" borderId="32" xfId="0" applyFont="1" applyFill="1" applyBorder="1" applyAlignment="1" applyProtection="1">
      <alignment horizontal="center" vertical="center" wrapText="1"/>
      <protection hidden="1"/>
    </xf>
    <xf numFmtId="0" fontId="6" fillId="5" borderId="43" xfId="0" applyFont="1" applyFill="1" applyBorder="1" applyAlignment="1" applyProtection="1">
      <alignment horizontal="center" vertical="center" wrapText="1"/>
      <protection hidden="1"/>
    </xf>
    <xf numFmtId="0" fontId="6" fillId="5" borderId="68" xfId="0" applyFont="1" applyFill="1" applyBorder="1" applyAlignment="1" applyProtection="1">
      <alignment horizontal="center" vertical="center" wrapText="1"/>
      <protection hidden="1"/>
    </xf>
    <xf numFmtId="166" fontId="7" fillId="12" borderId="4" xfId="0" applyNumberFormat="1" applyFont="1" applyFill="1" applyBorder="1" applyAlignment="1" applyProtection="1">
      <alignment horizontal="center" vertical="center"/>
      <protection hidden="1"/>
    </xf>
    <xf numFmtId="0" fontId="7" fillId="2" borderId="2" xfId="0" applyFont="1" applyFill="1" applyBorder="1" applyAlignment="1" applyProtection="1">
      <protection hidden="1"/>
    </xf>
    <xf numFmtId="0" fontId="7" fillId="2" borderId="3" xfId="0" applyFont="1" applyFill="1" applyBorder="1" applyAlignment="1" applyProtection="1">
      <protection hidden="1"/>
    </xf>
    <xf numFmtId="0" fontId="6" fillId="5" borderId="69" xfId="0" applyFont="1" applyFill="1" applyBorder="1" applyAlignment="1" applyProtection="1">
      <alignment horizontal="center" vertical="center"/>
      <protection hidden="1"/>
    </xf>
    <xf numFmtId="2" fontId="7" fillId="13" borderId="8" xfId="0" applyNumberFormat="1" applyFont="1" applyFill="1" applyBorder="1" applyAlignment="1" applyProtection="1">
      <alignment horizontal="center" vertical="center"/>
      <protection hidden="1"/>
    </xf>
    <xf numFmtId="0" fontId="7" fillId="2" borderId="47" xfId="0" applyFont="1" applyFill="1" applyBorder="1" applyAlignment="1" applyProtection="1">
      <protection hidden="1"/>
    </xf>
    <xf numFmtId="0" fontId="7" fillId="2" borderId="5" xfId="0" applyFont="1" applyFill="1" applyBorder="1" applyAlignment="1" applyProtection="1">
      <protection hidden="1"/>
    </xf>
    <xf numFmtId="0" fontId="6" fillId="2" borderId="0" xfId="0" applyFont="1" applyFill="1" applyBorder="1" applyAlignment="1" applyProtection="1">
      <alignment horizontal="center" vertical="center"/>
      <protection hidden="1"/>
    </xf>
    <xf numFmtId="166" fontId="7" fillId="2" borderId="0" xfId="0" applyNumberFormat="1" applyFont="1" applyFill="1" applyBorder="1" applyAlignment="1" applyProtection="1">
      <alignment horizontal="center" vertical="center"/>
      <protection hidden="1"/>
    </xf>
    <xf numFmtId="0" fontId="7" fillId="2" borderId="10" xfId="0" applyFont="1" applyFill="1" applyBorder="1" applyAlignment="1" applyProtection="1">
      <alignment vertical="center" wrapText="1"/>
      <protection hidden="1"/>
    </xf>
    <xf numFmtId="0" fontId="6" fillId="2" borderId="0" xfId="0" applyFont="1" applyFill="1" applyBorder="1" applyAlignment="1" applyProtection="1">
      <alignment vertical="center" wrapText="1"/>
      <protection hidden="1"/>
    </xf>
    <xf numFmtId="0" fontId="6" fillId="2" borderId="49" xfId="0" applyFont="1" applyFill="1" applyBorder="1" applyAlignment="1" applyProtection="1">
      <alignment horizontal="center" vertical="center" wrapText="1"/>
      <protection hidden="1"/>
    </xf>
    <xf numFmtId="0" fontId="7" fillId="2" borderId="10" xfId="0" applyFont="1" applyFill="1" applyBorder="1" applyAlignment="1" applyProtection="1">
      <alignment horizontal="left" vertical="center" wrapText="1"/>
      <protection hidden="1"/>
    </xf>
    <xf numFmtId="0" fontId="7" fillId="2" borderId="0" xfId="0" applyFont="1" applyFill="1" applyBorder="1" applyAlignment="1" applyProtection="1">
      <alignment horizontal="left" vertical="center" wrapText="1"/>
      <protection hidden="1"/>
    </xf>
    <xf numFmtId="0" fontId="7" fillId="0" borderId="10" xfId="0" applyFont="1" applyBorder="1" applyAlignment="1" applyProtection="1">
      <alignment vertical="center" wrapText="1"/>
      <protection hidden="1"/>
    </xf>
    <xf numFmtId="0" fontId="6" fillId="5" borderId="22" xfId="0" applyFont="1" applyFill="1" applyBorder="1" applyAlignment="1" applyProtection="1">
      <alignment horizontal="center" vertical="center" wrapText="1"/>
      <protection hidden="1"/>
    </xf>
    <xf numFmtId="0" fontId="6" fillId="5" borderId="20" xfId="0" applyFont="1" applyFill="1" applyBorder="1" applyAlignment="1" applyProtection="1">
      <alignment horizontal="center" vertical="center" wrapText="1"/>
      <protection hidden="1"/>
    </xf>
    <xf numFmtId="0" fontId="6" fillId="2" borderId="10" xfId="0" applyFont="1" applyFill="1" applyBorder="1" applyAlignment="1" applyProtection="1">
      <alignment horizontal="center" vertical="center" wrapText="1"/>
      <protection hidden="1"/>
    </xf>
    <xf numFmtId="0" fontId="7" fillId="0" borderId="40" xfId="0" applyFont="1" applyBorder="1" applyAlignment="1" applyProtection="1">
      <alignment vertical="center" wrapText="1"/>
      <protection hidden="1"/>
    </xf>
    <xf numFmtId="14" fontId="7" fillId="5" borderId="9" xfId="0" applyNumberFormat="1" applyFont="1" applyFill="1" applyBorder="1" applyAlignment="1" applyProtection="1">
      <alignment horizontal="center" vertical="center" wrapText="1"/>
      <protection hidden="1"/>
    </xf>
    <xf numFmtId="0" fontId="7" fillId="5" borderId="9" xfId="0" applyFont="1" applyFill="1" applyBorder="1" applyAlignment="1" applyProtection="1">
      <alignment horizontal="center" vertical="center" wrapText="1"/>
      <protection hidden="1"/>
    </xf>
    <xf numFmtId="167" fontId="7" fillId="5" borderId="9" xfId="0" applyNumberFormat="1" applyFont="1" applyFill="1" applyBorder="1" applyAlignment="1" applyProtection="1">
      <alignment horizontal="center" vertical="center" wrapText="1"/>
      <protection hidden="1"/>
    </xf>
    <xf numFmtId="166" fontId="7" fillId="5" borderId="9" xfId="0" applyNumberFormat="1" applyFont="1" applyFill="1" applyBorder="1" applyAlignment="1" applyProtection="1">
      <alignment horizontal="center" vertical="center" wrapText="1"/>
      <protection hidden="1"/>
    </xf>
    <xf numFmtId="165" fontId="7" fillId="5" borderId="9" xfId="0" applyNumberFormat="1" applyFont="1" applyFill="1" applyBorder="1" applyAlignment="1" applyProtection="1">
      <alignment horizontal="center" vertical="center" wrapText="1"/>
      <protection hidden="1"/>
    </xf>
    <xf numFmtId="0" fontId="7" fillId="5" borderId="34" xfId="0" applyFont="1" applyFill="1" applyBorder="1" applyAlignment="1" applyProtection="1">
      <alignment horizontal="center" vertical="center" wrapText="1"/>
      <protection hidden="1"/>
    </xf>
    <xf numFmtId="2" fontId="7" fillId="5" borderId="9" xfId="0" applyNumberFormat="1" applyFont="1" applyFill="1" applyBorder="1" applyAlignment="1" applyProtection="1">
      <alignment horizontal="center" vertical="center" wrapText="1"/>
      <protection hidden="1"/>
    </xf>
    <xf numFmtId="168" fontId="7" fillId="5" borderId="9" xfId="0" applyNumberFormat="1" applyFont="1" applyFill="1" applyBorder="1" applyAlignment="1" applyProtection="1">
      <alignment horizontal="center" vertical="center" wrapText="1"/>
      <protection hidden="1"/>
    </xf>
    <xf numFmtId="0" fontId="6" fillId="2" borderId="10" xfId="0" applyFont="1" applyFill="1" applyBorder="1" applyAlignment="1" applyProtection="1">
      <alignment horizontal="left" vertical="top" wrapText="1"/>
      <protection hidden="1"/>
    </xf>
    <xf numFmtId="0" fontId="6" fillId="2" borderId="0" xfId="0" applyFont="1" applyFill="1" applyBorder="1" applyAlignment="1" applyProtection="1">
      <alignment horizontal="left" vertical="top" wrapText="1"/>
      <protection hidden="1"/>
    </xf>
    <xf numFmtId="14" fontId="7" fillId="2" borderId="0" xfId="0" applyNumberFormat="1" applyFont="1" applyFill="1" applyBorder="1" applyAlignment="1" applyProtection="1">
      <alignment horizontal="center" vertical="center" wrapText="1"/>
      <protection hidden="1"/>
    </xf>
    <xf numFmtId="170" fontId="7" fillId="2" borderId="0" xfId="0" applyNumberFormat="1" applyFont="1" applyFill="1" applyBorder="1" applyAlignment="1" applyProtection="1">
      <alignment horizontal="center" vertical="center" wrapText="1"/>
      <protection hidden="1"/>
    </xf>
    <xf numFmtId="0" fontId="7" fillId="2" borderId="49" xfId="0" applyFont="1" applyFill="1" applyBorder="1" applyAlignment="1" applyProtection="1">
      <alignment horizontal="center" vertical="center" wrapText="1"/>
      <protection hidden="1"/>
    </xf>
    <xf numFmtId="0" fontId="6" fillId="5" borderId="57" xfId="0" applyFont="1" applyFill="1" applyBorder="1" applyAlignment="1" applyProtection="1">
      <alignment vertical="top" wrapText="1"/>
      <protection hidden="1"/>
    </xf>
    <xf numFmtId="0" fontId="7" fillId="5" borderId="44" xfId="0" applyFont="1" applyFill="1" applyBorder="1" applyAlignment="1" applyProtection="1">
      <alignment horizontal="center" vertical="center" wrapText="1"/>
      <protection hidden="1"/>
    </xf>
    <xf numFmtId="14" fontId="7" fillId="5" borderId="44" xfId="0" applyNumberFormat="1" applyFont="1" applyFill="1" applyBorder="1" applyAlignment="1" applyProtection="1">
      <alignment horizontal="center" vertical="center" wrapText="1"/>
      <protection hidden="1"/>
    </xf>
    <xf numFmtId="165" fontId="7" fillId="5" borderId="44" xfId="0" applyNumberFormat="1" applyFont="1" applyFill="1" applyBorder="1" applyAlignment="1" applyProtection="1">
      <alignment horizontal="center" vertical="center" wrapText="1"/>
      <protection hidden="1"/>
    </xf>
    <xf numFmtId="1" fontId="7" fillId="5" borderId="44" xfId="0" applyNumberFormat="1" applyFont="1" applyFill="1" applyBorder="1" applyAlignment="1" applyProtection="1">
      <alignment horizontal="center" vertical="center" wrapText="1"/>
      <protection hidden="1"/>
    </xf>
    <xf numFmtId="168" fontId="7" fillId="5" borderId="44" xfId="0" applyNumberFormat="1" applyFont="1" applyFill="1" applyBorder="1" applyAlignment="1" applyProtection="1">
      <alignment horizontal="center" vertical="center" wrapText="1"/>
      <protection hidden="1"/>
    </xf>
    <xf numFmtId="0" fontId="7" fillId="5" borderId="37" xfId="0" applyFont="1" applyFill="1" applyBorder="1" applyAlignment="1" applyProtection="1">
      <alignment horizontal="center" vertical="center" wrapText="1"/>
      <protection hidden="1"/>
    </xf>
    <xf numFmtId="166" fontId="7" fillId="2" borderId="0" xfId="1" applyNumberFormat="1" applyFont="1" applyFill="1" applyBorder="1" applyAlignment="1" applyProtection="1">
      <alignment horizontal="center" vertical="center"/>
      <protection hidden="1"/>
    </xf>
    <xf numFmtId="14" fontId="7" fillId="5" borderId="18" xfId="0" applyNumberFormat="1" applyFont="1" applyFill="1" applyBorder="1" applyAlignment="1" applyProtection="1">
      <alignment horizontal="center" vertical="center" wrapText="1"/>
      <protection hidden="1"/>
    </xf>
    <xf numFmtId="165" fontId="7" fillId="2" borderId="0" xfId="1" applyNumberFormat="1" applyFont="1" applyFill="1" applyBorder="1" applyAlignment="1" applyProtection="1">
      <alignment horizontal="center" vertical="center"/>
      <protection hidden="1"/>
    </xf>
    <xf numFmtId="0" fontId="6" fillId="2" borderId="1" xfId="0" applyFont="1" applyFill="1" applyBorder="1" applyAlignment="1" applyProtection="1">
      <alignment vertical="center" wrapText="1"/>
      <protection hidden="1"/>
    </xf>
    <xf numFmtId="166" fontId="7" fillId="2" borderId="4" xfId="0" applyNumberFormat="1" applyFont="1" applyFill="1" applyBorder="1" applyAlignment="1" applyProtection="1">
      <alignment horizontal="center" vertical="center"/>
      <protection hidden="1"/>
    </xf>
    <xf numFmtId="2" fontId="7" fillId="2" borderId="0" xfId="0" applyNumberFormat="1" applyFont="1" applyFill="1" applyBorder="1" applyProtection="1">
      <protection hidden="1"/>
    </xf>
    <xf numFmtId="0" fontId="7" fillId="11" borderId="14" xfId="0" applyFont="1" applyFill="1" applyBorder="1" applyAlignment="1" applyProtection="1">
      <alignment horizontal="center" vertical="center"/>
      <protection locked="0" hidden="1"/>
    </xf>
    <xf numFmtId="0" fontId="7" fillId="11" borderId="57" xfId="0" applyFont="1" applyFill="1" applyBorder="1" applyAlignment="1" applyProtection="1">
      <alignment horizontal="center" vertical="center"/>
      <protection locked="0" hidden="1"/>
    </xf>
    <xf numFmtId="0" fontId="7" fillId="11" borderId="9" xfId="1" applyFont="1" applyFill="1" applyBorder="1" applyAlignment="1" applyProtection="1">
      <alignment horizontal="center" vertical="center"/>
      <protection locked="0" hidden="1"/>
    </xf>
    <xf numFmtId="0" fontId="7" fillId="11" borderId="44" xfId="1" applyFont="1" applyFill="1" applyBorder="1" applyAlignment="1" applyProtection="1">
      <alignment horizontal="center" vertical="center"/>
      <protection locked="0" hidden="1"/>
    </xf>
    <xf numFmtId="2" fontId="11" fillId="24" borderId="1" xfId="6" applyNumberFormat="1" applyBorder="1" applyAlignment="1" applyProtection="1">
      <alignment horizontal="center" vertical="center"/>
      <protection locked="0" hidden="1"/>
    </xf>
    <xf numFmtId="0" fontId="7" fillId="5" borderId="39" xfId="0" applyFont="1" applyFill="1" applyBorder="1" applyAlignment="1" applyProtection="1">
      <alignment horizontal="center" vertical="center" wrapText="1"/>
      <protection hidden="1"/>
    </xf>
    <xf numFmtId="0" fontId="7" fillId="5" borderId="40" xfId="0" applyFont="1" applyFill="1" applyBorder="1" applyAlignment="1" applyProtection="1">
      <alignment horizontal="center" vertical="center" wrapText="1"/>
      <protection hidden="1"/>
    </xf>
    <xf numFmtId="0" fontId="7" fillId="5" borderId="32" xfId="0" applyFont="1" applyFill="1" applyBorder="1" applyAlignment="1" applyProtection="1">
      <alignment horizontal="center" vertical="center" wrapText="1"/>
      <protection hidden="1"/>
    </xf>
    <xf numFmtId="0" fontId="7" fillId="5" borderId="43" xfId="0" applyFont="1" applyFill="1" applyBorder="1" applyAlignment="1" applyProtection="1">
      <alignment horizontal="center" vertical="center"/>
      <protection hidden="1"/>
    </xf>
    <xf numFmtId="166" fontId="7" fillId="7" borderId="44" xfId="0" applyNumberFormat="1" applyFont="1" applyFill="1" applyBorder="1" applyAlignment="1" applyProtection="1">
      <alignment horizontal="center" vertical="center"/>
      <protection hidden="1"/>
    </xf>
    <xf numFmtId="166" fontId="7" fillId="7" borderId="9" xfId="0" applyNumberFormat="1" applyFont="1" applyFill="1" applyBorder="1" applyAlignment="1" applyProtection="1">
      <alignment horizontal="center" vertical="center" wrapText="1"/>
      <protection hidden="1"/>
    </xf>
    <xf numFmtId="0" fontId="7" fillId="5" borderId="27" xfId="1" applyFont="1" applyFill="1" applyBorder="1" applyAlignment="1" applyProtection="1">
      <alignment horizontal="center" wrapText="1"/>
      <protection hidden="1"/>
    </xf>
    <xf numFmtId="166" fontId="7" fillId="12" borderId="11" xfId="0" applyNumberFormat="1" applyFont="1" applyFill="1" applyBorder="1" applyAlignment="1" applyProtection="1">
      <alignment horizontal="center" vertical="center"/>
      <protection hidden="1"/>
    </xf>
    <xf numFmtId="166" fontId="7" fillId="12" borderId="55" xfId="0" applyNumberFormat="1" applyFont="1" applyFill="1" applyBorder="1" applyAlignment="1" applyProtection="1">
      <alignment horizontal="center" vertical="center"/>
      <protection hidden="1"/>
    </xf>
    <xf numFmtId="167" fontId="6" fillId="7" borderId="69" xfId="0" applyNumberFormat="1" applyFont="1" applyFill="1" applyBorder="1" applyAlignment="1" applyProtection="1">
      <alignment horizontal="center" vertical="center" wrapText="1"/>
      <protection hidden="1"/>
    </xf>
    <xf numFmtId="167" fontId="6" fillId="7" borderId="74" xfId="0" applyNumberFormat="1" applyFont="1" applyFill="1" applyBorder="1" applyAlignment="1" applyProtection="1">
      <alignment horizontal="center" vertical="center" wrapText="1"/>
      <protection hidden="1"/>
    </xf>
    <xf numFmtId="0" fontId="39" fillId="2" borderId="23" xfId="0" applyFont="1" applyFill="1" applyBorder="1" applyAlignment="1" applyProtection="1">
      <alignment horizontal="center" vertical="center" wrapText="1"/>
      <protection hidden="1"/>
    </xf>
    <xf numFmtId="11" fontId="7" fillId="7" borderId="11" xfId="0" applyNumberFormat="1" applyFont="1" applyFill="1" applyBorder="1" applyAlignment="1" applyProtection="1">
      <alignment horizontal="center" vertical="center" wrapText="1"/>
      <protection hidden="1"/>
    </xf>
    <xf numFmtId="166" fontId="7" fillId="7" borderId="55" xfId="0" applyNumberFormat="1" applyFont="1" applyFill="1" applyBorder="1" applyAlignment="1" applyProtection="1">
      <alignment horizontal="center" vertical="center"/>
      <protection hidden="1"/>
    </xf>
    <xf numFmtId="2" fontId="7" fillId="11" borderId="44" xfId="1" applyNumberFormat="1" applyFont="1" applyFill="1" applyBorder="1" applyAlignment="1" applyProtection="1">
      <alignment horizontal="center" vertical="center"/>
      <protection locked="0" hidden="1"/>
    </xf>
    <xf numFmtId="0" fontId="7" fillId="2" borderId="0" xfId="0" applyFont="1" applyFill="1" applyBorder="1" applyAlignment="1" applyProtection="1">
      <alignment horizontal="center"/>
      <protection hidden="1"/>
    </xf>
    <xf numFmtId="0" fontId="6" fillId="5" borderId="9" xfId="0" applyFont="1" applyFill="1" applyBorder="1" applyAlignment="1" applyProtection="1">
      <alignment horizontal="center" vertical="center" wrapText="1"/>
      <protection hidden="1"/>
    </xf>
    <xf numFmtId="0" fontId="6" fillId="5" borderId="41" xfId="0" applyFont="1" applyFill="1" applyBorder="1" applyAlignment="1" applyProtection="1">
      <alignment horizontal="center" vertical="center"/>
      <protection hidden="1"/>
    </xf>
    <xf numFmtId="0" fontId="7" fillId="3" borderId="32" xfId="0" applyFont="1" applyFill="1" applyBorder="1" applyAlignment="1" applyProtection="1">
      <alignment horizontal="center" vertical="center"/>
      <protection hidden="1"/>
    </xf>
    <xf numFmtId="0" fontId="6" fillId="5" borderId="34" xfId="0" applyFont="1" applyFill="1" applyBorder="1" applyAlignment="1" applyProtection="1">
      <alignment horizontal="center" vertical="center" wrapText="1"/>
      <protection hidden="1"/>
    </xf>
    <xf numFmtId="0" fontId="7" fillId="3" borderId="43" xfId="0" applyFont="1" applyFill="1" applyBorder="1" applyAlignment="1" applyProtection="1">
      <alignment horizontal="center" vertical="center"/>
      <protection hidden="1"/>
    </xf>
    <xf numFmtId="0" fontId="6" fillId="5" borderId="44" xfId="0" applyFont="1" applyFill="1" applyBorder="1" applyAlignment="1" applyProtection="1">
      <alignment horizontal="center" vertical="center" wrapText="1"/>
      <protection hidden="1"/>
    </xf>
    <xf numFmtId="0" fontId="6" fillId="5" borderId="37" xfId="0" applyFont="1" applyFill="1" applyBorder="1" applyAlignment="1" applyProtection="1">
      <alignment horizontal="center" vertical="center" wrapText="1"/>
      <protection hidden="1"/>
    </xf>
    <xf numFmtId="0" fontId="6" fillId="5" borderId="30" xfId="0" applyFont="1" applyFill="1" applyBorder="1" applyAlignment="1" applyProtection="1">
      <alignment horizontal="center" vertical="center" wrapText="1"/>
      <protection hidden="1"/>
    </xf>
    <xf numFmtId="0" fontId="7" fillId="3" borderId="30" xfId="0" applyFont="1" applyFill="1" applyBorder="1" applyAlignment="1" applyProtection="1">
      <alignment horizontal="center" vertical="center"/>
      <protection hidden="1"/>
    </xf>
    <xf numFmtId="2" fontId="7" fillId="12" borderId="18" xfId="0" applyNumberFormat="1" applyFont="1" applyFill="1" applyBorder="1" applyAlignment="1" applyProtection="1">
      <alignment horizontal="center" vertical="center"/>
      <protection hidden="1"/>
    </xf>
    <xf numFmtId="0" fontId="9" fillId="5" borderId="20" xfId="0" applyFont="1" applyFill="1" applyBorder="1" applyAlignment="1" applyProtection="1">
      <alignment horizontal="center" vertical="center" wrapText="1"/>
      <protection hidden="1"/>
    </xf>
    <xf numFmtId="0" fontId="6" fillId="5" borderId="22" xfId="0" applyFont="1" applyFill="1" applyBorder="1" applyAlignment="1" applyProtection="1">
      <alignment horizontal="center" vertical="center"/>
      <protection hidden="1"/>
    </xf>
    <xf numFmtId="0" fontId="6" fillId="4" borderId="39" xfId="0" applyFont="1" applyFill="1" applyBorder="1" applyAlignment="1" applyProtection="1">
      <alignment horizontal="center" vertical="center" wrapText="1"/>
      <protection hidden="1"/>
    </xf>
    <xf numFmtId="165" fontId="7" fillId="12" borderId="41" xfId="0" applyNumberFormat="1" applyFont="1" applyFill="1" applyBorder="1" applyAlignment="1" applyProtection="1">
      <alignment horizontal="center" vertical="center"/>
      <protection hidden="1"/>
    </xf>
    <xf numFmtId="0" fontId="6" fillId="4" borderId="32" xfId="0" applyFont="1" applyFill="1" applyBorder="1" applyAlignment="1" applyProtection="1">
      <alignment horizontal="center" vertical="center" wrapText="1"/>
      <protection hidden="1"/>
    </xf>
    <xf numFmtId="2" fontId="7" fillId="13" borderId="34" xfId="0" applyNumberFormat="1" applyFont="1" applyFill="1" applyBorder="1" applyAlignment="1" applyProtection="1">
      <alignment horizontal="center" vertical="center"/>
      <protection hidden="1"/>
    </xf>
    <xf numFmtId="0" fontId="6" fillId="4" borderId="43" xfId="0" applyFont="1" applyFill="1" applyBorder="1" applyAlignment="1" applyProtection="1">
      <alignment horizontal="center" vertical="center" wrapText="1"/>
      <protection hidden="1"/>
    </xf>
    <xf numFmtId="2" fontId="7" fillId="2" borderId="0" xfId="0" applyNumberFormat="1" applyFont="1" applyFill="1" applyProtection="1">
      <protection hidden="1"/>
    </xf>
    <xf numFmtId="2" fontId="17" fillId="15" borderId="22" xfId="0" applyNumberFormat="1" applyFont="1" applyFill="1" applyBorder="1" applyAlignment="1" applyProtection="1">
      <alignment horizontal="center" vertical="center" wrapText="1"/>
      <protection hidden="1"/>
    </xf>
    <xf numFmtId="0" fontId="37" fillId="7" borderId="44" xfId="0" applyFont="1" applyFill="1" applyBorder="1" applyAlignment="1" applyProtection="1">
      <alignment horizontal="center" vertical="center" wrapText="1"/>
      <protection hidden="1"/>
    </xf>
    <xf numFmtId="0" fontId="6" fillId="5" borderId="18" xfId="0" applyFont="1" applyFill="1" applyBorder="1" applyAlignment="1" applyProtection="1">
      <alignment horizontal="center" vertical="center" wrapText="1"/>
      <protection hidden="1"/>
    </xf>
    <xf numFmtId="166" fontId="7" fillId="7" borderId="18" xfId="0" applyNumberFormat="1" applyFont="1" applyFill="1" applyBorder="1" applyAlignment="1" applyProtection="1">
      <alignment horizontal="center" vertical="center" wrapText="1"/>
      <protection hidden="1"/>
    </xf>
    <xf numFmtId="166" fontId="36" fillId="7" borderId="27" xfId="0" applyNumberFormat="1" applyFont="1" applyFill="1" applyBorder="1" applyAlignment="1" applyProtection="1">
      <alignment horizontal="center" vertical="center" wrapText="1"/>
      <protection hidden="1"/>
    </xf>
    <xf numFmtId="166" fontId="7" fillId="7" borderId="11" xfId="0" applyNumberFormat="1" applyFont="1" applyFill="1" applyBorder="1" applyAlignment="1" applyProtection="1">
      <alignment horizontal="center" vertical="center"/>
      <protection hidden="1"/>
    </xf>
    <xf numFmtId="166" fontId="7" fillId="7" borderId="44" xfId="0" applyNumberFormat="1" applyFont="1" applyFill="1" applyBorder="1" applyAlignment="1" applyProtection="1">
      <alignment horizontal="center" vertical="center" wrapText="1"/>
      <protection hidden="1"/>
    </xf>
    <xf numFmtId="166" fontId="7" fillId="7" borderId="37" xfId="0" applyNumberFormat="1" applyFont="1" applyFill="1" applyBorder="1" applyAlignment="1" applyProtection="1">
      <alignment horizontal="center" vertical="center"/>
      <protection hidden="1"/>
    </xf>
    <xf numFmtId="0" fontId="6" fillId="5" borderId="19" xfId="0" applyFont="1" applyFill="1" applyBorder="1" applyAlignment="1" applyProtection="1">
      <alignment horizontal="center" vertical="center" wrapText="1"/>
      <protection hidden="1"/>
    </xf>
    <xf numFmtId="0" fontId="6" fillId="5" borderId="28" xfId="0" applyFont="1" applyFill="1" applyBorder="1" applyAlignment="1" applyProtection="1">
      <alignment horizontal="center" vertical="center" wrapText="1"/>
      <protection hidden="1"/>
    </xf>
    <xf numFmtId="0" fontId="7" fillId="2" borderId="0" xfId="0" applyFont="1" applyFill="1" applyBorder="1" applyAlignment="1" applyProtection="1">
      <alignment horizontal="center" vertical="center" wrapText="1"/>
      <protection hidden="1"/>
    </xf>
    <xf numFmtId="0" fontId="6" fillId="5" borderId="21" xfId="0" applyFont="1" applyFill="1" applyBorder="1" applyAlignment="1" applyProtection="1">
      <alignment horizontal="center" vertical="center" wrapText="1"/>
      <protection hidden="1"/>
    </xf>
    <xf numFmtId="0" fontId="13" fillId="25" borderId="1" xfId="0" applyFont="1" applyFill="1" applyBorder="1" applyAlignment="1" applyProtection="1">
      <alignment horizontal="center" vertical="center" wrapText="1"/>
      <protection hidden="1"/>
    </xf>
    <xf numFmtId="0" fontId="7" fillId="2" borderId="0" xfId="0" applyFont="1" applyFill="1" applyBorder="1" applyAlignment="1" applyProtection="1">
      <alignment vertical="center" wrapText="1"/>
      <protection locked="0" hidden="1"/>
    </xf>
    <xf numFmtId="0" fontId="7" fillId="2" borderId="6" xfId="0" applyFont="1" applyFill="1" applyBorder="1" applyAlignment="1" applyProtection="1">
      <alignment horizontal="center" vertical="center" wrapText="1"/>
      <protection hidden="1"/>
    </xf>
    <xf numFmtId="0" fontId="7" fillId="2" borderId="7" xfId="0" applyFont="1" applyFill="1" applyBorder="1" applyAlignment="1" applyProtection="1">
      <alignment horizontal="center" vertical="center" wrapText="1"/>
      <protection hidden="1"/>
    </xf>
    <xf numFmtId="0" fontId="25" fillId="7" borderId="71" xfId="0" applyFont="1" applyFill="1" applyBorder="1" applyAlignment="1" applyProtection="1">
      <alignment horizontal="center" vertical="center" wrapText="1"/>
      <protection hidden="1"/>
    </xf>
    <xf numFmtId="167" fontId="25" fillId="7" borderId="1" xfId="0" applyNumberFormat="1" applyFont="1" applyFill="1" applyBorder="1" applyAlignment="1" applyProtection="1">
      <alignment horizontal="center" vertical="center" wrapText="1"/>
      <protection hidden="1"/>
    </xf>
    <xf numFmtId="0" fontId="25" fillId="7" borderId="1" xfId="0" applyFont="1" applyFill="1" applyBorder="1" applyAlignment="1" applyProtection="1">
      <alignment horizontal="center" vertical="center" wrapText="1"/>
      <protection hidden="1"/>
    </xf>
    <xf numFmtId="2" fontId="25" fillId="7" borderId="1" xfId="0" applyNumberFormat="1" applyFont="1" applyFill="1" applyBorder="1" applyAlignment="1" applyProtection="1">
      <alignment horizontal="center" vertical="center" wrapText="1"/>
      <protection hidden="1"/>
    </xf>
    <xf numFmtId="0" fontId="40" fillId="7" borderId="39" xfId="0" applyFont="1" applyFill="1" applyBorder="1" applyAlignment="1" applyProtection="1">
      <alignment horizontal="center" vertical="center" wrapText="1"/>
      <protection hidden="1"/>
    </xf>
    <xf numFmtId="0" fontId="46" fillId="7" borderId="40" xfId="0" applyFont="1" applyFill="1" applyBorder="1" applyAlignment="1" applyProtection="1">
      <alignment horizontal="center" vertical="center" wrapText="1"/>
      <protection hidden="1"/>
    </xf>
    <xf numFmtId="0" fontId="40" fillId="7" borderId="41" xfId="0" applyFont="1" applyFill="1" applyBorder="1" applyAlignment="1" applyProtection="1">
      <alignment horizontal="center" vertical="center" wrapText="1"/>
      <protection hidden="1"/>
    </xf>
    <xf numFmtId="0" fontId="40" fillId="7" borderId="43" xfId="0" applyFont="1" applyFill="1" applyBorder="1" applyAlignment="1" applyProtection="1">
      <alignment horizontal="center" vertical="center" wrapText="1"/>
      <protection hidden="1"/>
    </xf>
    <xf numFmtId="0" fontId="40" fillId="7" borderId="44" xfId="0" applyFont="1" applyFill="1" applyBorder="1" applyAlignment="1" applyProtection="1">
      <alignment horizontal="center" vertical="center" wrapText="1"/>
      <protection hidden="1"/>
    </xf>
    <xf numFmtId="0" fontId="40" fillId="7" borderId="37" xfId="0" applyFont="1" applyFill="1" applyBorder="1" applyAlignment="1" applyProtection="1">
      <alignment horizontal="center" vertical="center" wrapText="1"/>
      <protection hidden="1"/>
    </xf>
    <xf numFmtId="14" fontId="7" fillId="5" borderId="40" xfId="0" applyNumberFormat="1" applyFont="1" applyFill="1" applyBorder="1" applyAlignment="1" applyProtection="1">
      <alignment horizontal="center" vertical="center" wrapText="1"/>
      <protection hidden="1"/>
    </xf>
    <xf numFmtId="0" fontId="6" fillId="5" borderId="64" xfId="0" applyFont="1" applyFill="1" applyBorder="1" applyAlignment="1" applyProtection="1">
      <alignment vertical="top" wrapText="1"/>
      <protection hidden="1"/>
    </xf>
    <xf numFmtId="0" fontId="7" fillId="5" borderId="53" xfId="0" applyFont="1" applyFill="1" applyBorder="1" applyAlignment="1" applyProtection="1">
      <alignment horizontal="center" vertical="center" wrapText="1"/>
      <protection hidden="1"/>
    </xf>
    <xf numFmtId="14" fontId="7" fillId="5" borderId="53" xfId="0" applyNumberFormat="1" applyFont="1" applyFill="1" applyBorder="1" applyAlignment="1" applyProtection="1">
      <alignment horizontal="center" vertical="center" wrapText="1"/>
      <protection hidden="1"/>
    </xf>
    <xf numFmtId="165" fontId="7" fillId="5" borderId="53" xfId="0" applyNumberFormat="1" applyFont="1" applyFill="1" applyBorder="1" applyAlignment="1" applyProtection="1">
      <alignment horizontal="center" vertical="center" wrapText="1"/>
      <protection hidden="1"/>
    </xf>
    <xf numFmtId="1" fontId="7" fillId="5" borderId="53" xfId="0" applyNumberFormat="1" applyFont="1" applyFill="1" applyBorder="1" applyAlignment="1" applyProtection="1">
      <alignment horizontal="center" vertical="center" wrapText="1"/>
      <protection hidden="1"/>
    </xf>
    <xf numFmtId="168" fontId="7" fillId="5" borderId="53" xfId="0" applyNumberFormat="1" applyFont="1" applyFill="1" applyBorder="1" applyAlignment="1" applyProtection="1">
      <alignment horizontal="center" vertical="center" wrapText="1"/>
      <protection hidden="1"/>
    </xf>
    <xf numFmtId="0" fontId="7" fillId="5" borderId="78" xfId="0" applyFont="1" applyFill="1" applyBorder="1" applyAlignment="1" applyProtection="1">
      <alignment horizontal="center" vertical="center" wrapText="1"/>
      <protection hidden="1"/>
    </xf>
    <xf numFmtId="165" fontId="7" fillId="5" borderId="40" xfId="0" applyNumberFormat="1" applyFont="1" applyFill="1" applyBorder="1" applyAlignment="1" applyProtection="1">
      <alignment horizontal="center" vertical="center" wrapText="1"/>
      <protection hidden="1"/>
    </xf>
    <xf numFmtId="164" fontId="7" fillId="5" borderId="40" xfId="0" applyNumberFormat="1" applyFont="1" applyFill="1" applyBorder="1" applyAlignment="1" applyProtection="1">
      <alignment horizontal="center" vertical="center" wrapText="1"/>
      <protection hidden="1"/>
    </xf>
    <xf numFmtId="168" fontId="7" fillId="5" borderId="40" xfId="0" applyNumberFormat="1" applyFont="1" applyFill="1" applyBorder="1" applyAlignment="1" applyProtection="1">
      <alignment horizontal="center" vertical="center" wrapText="1"/>
      <protection hidden="1"/>
    </xf>
    <xf numFmtId="0" fontId="7" fillId="5" borderId="41" xfId="0" applyFont="1" applyFill="1" applyBorder="1" applyAlignment="1" applyProtection="1">
      <alignment horizontal="center" vertical="center" wrapText="1"/>
      <protection hidden="1"/>
    </xf>
    <xf numFmtId="2" fontId="7" fillId="2" borderId="19" xfId="0" applyNumberFormat="1" applyFont="1" applyFill="1" applyBorder="1" applyAlignment="1" applyProtection="1">
      <alignment horizontal="center" vertical="center"/>
      <protection hidden="1"/>
    </xf>
    <xf numFmtId="2" fontId="7" fillId="2" borderId="20" xfId="0" applyNumberFormat="1" applyFont="1" applyFill="1" applyBorder="1" applyAlignment="1" applyProtection="1">
      <alignment horizontal="center" vertical="center"/>
      <protection hidden="1"/>
    </xf>
    <xf numFmtId="0" fontId="7" fillId="2" borderId="70" xfId="0" applyFont="1" applyFill="1" applyBorder="1" applyAlignment="1" applyProtection="1">
      <alignment vertical="center" wrapText="1"/>
      <protection hidden="1"/>
    </xf>
    <xf numFmtId="14" fontId="7" fillId="5" borderId="15" xfId="0" applyNumberFormat="1" applyFont="1" applyFill="1" applyBorder="1" applyAlignment="1" applyProtection="1">
      <alignment horizontal="center" vertical="center" wrapText="1"/>
      <protection hidden="1"/>
    </xf>
    <xf numFmtId="0" fontId="7" fillId="7" borderId="10" xfId="0" applyFont="1" applyFill="1" applyBorder="1" applyAlignment="1" applyProtection="1">
      <alignment horizontal="center" vertical="center" wrapText="1"/>
      <protection hidden="1"/>
    </xf>
    <xf numFmtId="166" fontId="7" fillId="2" borderId="10" xfId="0" applyNumberFormat="1" applyFont="1" applyFill="1" applyBorder="1" applyAlignment="1" applyProtection="1">
      <alignment horizontal="center" vertical="center"/>
      <protection hidden="1"/>
    </xf>
    <xf numFmtId="2" fontId="6" fillId="7" borderId="1" xfId="0" applyNumberFormat="1" applyFont="1" applyFill="1" applyBorder="1" applyAlignment="1" applyProtection="1">
      <alignment horizontal="center" vertical="center" wrapText="1"/>
      <protection hidden="1"/>
    </xf>
    <xf numFmtId="14" fontId="7" fillId="5" borderId="20" xfId="0" applyNumberFormat="1" applyFont="1" applyFill="1" applyBorder="1" applyAlignment="1" applyProtection="1">
      <alignment horizontal="center" vertical="center" wrapText="1"/>
      <protection hidden="1"/>
    </xf>
    <xf numFmtId="0" fontId="7" fillId="5" borderId="19" xfId="0" applyFont="1" applyFill="1" applyBorder="1" applyAlignment="1" applyProtection="1">
      <alignment horizontal="center" vertical="center" wrapText="1"/>
      <protection hidden="1"/>
    </xf>
    <xf numFmtId="0" fontId="7" fillId="5" borderId="22" xfId="0" applyFont="1" applyFill="1" applyBorder="1" applyAlignment="1" applyProtection="1">
      <alignment horizontal="center" vertical="center" wrapText="1"/>
      <protection hidden="1"/>
    </xf>
    <xf numFmtId="0" fontId="7" fillId="5" borderId="21" xfId="0" applyFont="1" applyFill="1" applyBorder="1" applyAlignment="1" applyProtection="1">
      <alignment horizontal="center" vertical="center" wrapText="1"/>
      <protection hidden="1"/>
    </xf>
    <xf numFmtId="0" fontId="7" fillId="5" borderId="8" xfId="0" applyFont="1" applyFill="1" applyBorder="1" applyAlignment="1" applyProtection="1">
      <alignment horizontal="center" vertical="center" wrapText="1"/>
      <protection hidden="1"/>
    </xf>
    <xf numFmtId="165" fontId="7" fillId="7" borderId="40" xfId="0" applyNumberFormat="1" applyFont="1" applyFill="1" applyBorder="1" applyAlignment="1" applyProtection="1">
      <alignment horizontal="center" vertical="center" wrapText="1"/>
      <protection hidden="1"/>
    </xf>
    <xf numFmtId="165" fontId="7" fillId="7" borderId="31" xfId="0" applyNumberFormat="1" applyFont="1" applyFill="1" applyBorder="1" applyAlignment="1" applyProtection="1">
      <alignment horizontal="center" vertical="center" wrapText="1"/>
      <protection hidden="1"/>
    </xf>
    <xf numFmtId="2" fontId="7" fillId="5" borderId="68" xfId="0" applyNumberFormat="1" applyFont="1" applyFill="1" applyBorder="1" applyAlignment="1" applyProtection="1">
      <alignment horizontal="center" vertical="center" wrapText="1"/>
      <protection hidden="1"/>
    </xf>
    <xf numFmtId="166" fontId="7" fillId="5" borderId="66" xfId="0" applyNumberFormat="1" applyFont="1" applyFill="1" applyBorder="1" applyAlignment="1" applyProtection="1">
      <alignment horizontal="center" vertical="center" wrapText="1"/>
      <protection hidden="1"/>
    </xf>
    <xf numFmtId="166" fontId="7" fillId="5" borderId="69" xfId="0" applyNumberFormat="1" applyFont="1" applyFill="1" applyBorder="1" applyAlignment="1" applyProtection="1">
      <alignment horizontal="center" vertical="center"/>
      <protection hidden="1"/>
    </xf>
    <xf numFmtId="0" fontId="7" fillId="2" borderId="6" xfId="0" applyFont="1" applyFill="1" applyBorder="1" applyAlignment="1" applyProtection="1">
      <alignment vertical="center" wrapText="1"/>
      <protection hidden="1"/>
    </xf>
    <xf numFmtId="0" fontId="7" fillId="2" borderId="7" xfId="0" applyFont="1" applyFill="1" applyBorder="1" applyAlignment="1" applyProtection="1">
      <alignment vertical="center" wrapText="1"/>
      <protection hidden="1"/>
    </xf>
    <xf numFmtId="0" fontId="6" fillId="2" borderId="7" xfId="0" applyFont="1" applyFill="1" applyBorder="1" applyAlignment="1" applyProtection="1">
      <alignment vertical="center" wrapText="1"/>
      <protection hidden="1"/>
    </xf>
    <xf numFmtId="0" fontId="6" fillId="2" borderId="8" xfId="0" applyFont="1" applyFill="1" applyBorder="1" applyAlignment="1" applyProtection="1">
      <alignment horizontal="center" vertical="center" wrapText="1"/>
      <protection hidden="1"/>
    </xf>
    <xf numFmtId="164" fontId="7" fillId="2" borderId="70" xfId="0" applyNumberFormat="1" applyFont="1" applyFill="1" applyBorder="1" applyAlignment="1" applyProtection="1">
      <alignment vertical="center" wrapText="1"/>
      <protection hidden="1"/>
    </xf>
    <xf numFmtId="1" fontId="7" fillId="2" borderId="70" xfId="0" applyNumberFormat="1" applyFont="1" applyFill="1" applyBorder="1" applyAlignment="1" applyProtection="1">
      <alignment vertical="center" wrapText="1"/>
      <protection hidden="1"/>
    </xf>
    <xf numFmtId="0" fontId="7" fillId="2" borderId="70" xfId="0" applyNumberFormat="1" applyFont="1" applyFill="1" applyBorder="1" applyAlignment="1" applyProtection="1">
      <alignment horizontal="center" vertical="center" wrapText="1"/>
      <protection hidden="1"/>
    </xf>
    <xf numFmtId="168" fontId="6" fillId="2" borderId="70" xfId="0" applyNumberFormat="1" applyFont="1" applyFill="1" applyBorder="1" applyAlignment="1" applyProtection="1">
      <alignment vertical="center"/>
      <protection hidden="1"/>
    </xf>
    <xf numFmtId="168" fontId="7" fillId="2" borderId="70" xfId="0" applyNumberFormat="1" applyFont="1" applyFill="1" applyBorder="1" applyAlignment="1" applyProtection="1">
      <alignment vertical="center" wrapText="1"/>
      <protection hidden="1"/>
    </xf>
    <xf numFmtId="164" fontId="7" fillId="7" borderId="1" xfId="0" applyNumberFormat="1" applyFont="1" applyFill="1" applyBorder="1" applyAlignment="1" applyProtection="1">
      <alignment horizontal="center" vertical="center" wrapText="1"/>
      <protection hidden="1"/>
    </xf>
    <xf numFmtId="168" fontId="7" fillId="5" borderId="1" xfId="0" applyNumberFormat="1" applyFont="1" applyFill="1" applyBorder="1" applyAlignment="1" applyProtection="1">
      <alignment horizontal="center" vertical="center"/>
      <protection hidden="1"/>
    </xf>
    <xf numFmtId="0" fontId="7" fillId="5" borderId="6" xfId="0" applyFont="1" applyFill="1" applyBorder="1" applyAlignment="1" applyProtection="1">
      <alignment horizontal="left" vertical="center" wrapText="1"/>
      <protection hidden="1"/>
    </xf>
    <xf numFmtId="0" fontId="7" fillId="5" borderId="7" xfId="0" applyFont="1" applyFill="1" applyBorder="1" applyAlignment="1" applyProtection="1">
      <alignment horizontal="left" vertical="center" wrapText="1"/>
      <protection hidden="1"/>
    </xf>
    <xf numFmtId="0" fontId="7" fillId="5" borderId="7" xfId="0" applyFont="1" applyFill="1" applyBorder="1" applyAlignment="1" applyProtection="1">
      <alignment vertical="center" wrapText="1"/>
      <protection hidden="1"/>
    </xf>
    <xf numFmtId="0" fontId="7" fillId="5" borderId="8" xfId="0" applyFont="1" applyFill="1" applyBorder="1" applyAlignment="1" applyProtection="1">
      <alignment vertical="center" wrapText="1"/>
      <protection hidden="1"/>
    </xf>
    <xf numFmtId="14" fontId="7" fillId="5" borderId="31" xfId="0" applyNumberFormat="1" applyFont="1" applyFill="1" applyBorder="1" applyAlignment="1" applyProtection="1">
      <alignment horizontal="center" vertical="center" wrapText="1"/>
      <protection hidden="1"/>
    </xf>
    <xf numFmtId="1" fontId="7" fillId="5" borderId="18" xfId="0" applyNumberFormat="1" applyFont="1" applyFill="1" applyBorder="1" applyAlignment="1" applyProtection="1">
      <alignment horizontal="center" vertical="center" wrapText="1"/>
      <protection hidden="1"/>
    </xf>
    <xf numFmtId="166" fontId="7" fillId="5" borderId="18" xfId="0" applyNumberFormat="1" applyFont="1" applyFill="1" applyBorder="1" applyAlignment="1" applyProtection="1">
      <alignment horizontal="center" vertical="center" wrapText="1"/>
      <protection hidden="1"/>
    </xf>
    <xf numFmtId="165" fontId="7" fillId="5" borderId="18" xfId="0" applyNumberFormat="1" applyFont="1" applyFill="1" applyBorder="1" applyAlignment="1" applyProtection="1">
      <alignment horizontal="center" vertical="center" wrapText="1"/>
      <protection hidden="1"/>
    </xf>
    <xf numFmtId="0" fontId="7" fillId="5" borderId="18" xfId="0" applyFont="1" applyFill="1" applyBorder="1" applyAlignment="1" applyProtection="1">
      <alignment horizontal="center" vertical="center" wrapText="1"/>
      <protection hidden="1"/>
    </xf>
    <xf numFmtId="0" fontId="7" fillId="5" borderId="36" xfId="0" applyFont="1" applyFill="1" applyBorder="1" applyAlignment="1" applyProtection="1">
      <alignment horizontal="center" vertical="center" wrapText="1"/>
      <protection hidden="1"/>
    </xf>
    <xf numFmtId="0" fontId="6" fillId="5" borderId="48" xfId="0" applyFont="1" applyFill="1" applyBorder="1" applyAlignment="1" applyProtection="1">
      <alignment vertical="top" wrapText="1"/>
      <protection hidden="1"/>
    </xf>
    <xf numFmtId="166" fontId="6" fillId="7" borderId="6" xfId="0" applyNumberFormat="1" applyFont="1" applyFill="1" applyBorder="1" applyAlignment="1" applyProtection="1">
      <alignment horizontal="center" vertical="center" wrapText="1"/>
      <protection hidden="1"/>
    </xf>
    <xf numFmtId="168" fontId="25" fillId="5" borderId="1" xfId="0" applyNumberFormat="1" applyFont="1" applyFill="1" applyBorder="1" applyAlignment="1" applyProtection="1">
      <alignment horizontal="center" vertical="center"/>
      <protection hidden="1"/>
    </xf>
    <xf numFmtId="168" fontId="25" fillId="2" borderId="49" xfId="0" applyNumberFormat="1" applyFont="1" applyFill="1" applyBorder="1" applyAlignment="1" applyProtection="1">
      <alignment vertical="center"/>
      <protection hidden="1"/>
    </xf>
    <xf numFmtId="168" fontId="25" fillId="2" borderId="49" xfId="0" applyNumberFormat="1" applyFont="1" applyFill="1" applyBorder="1" applyAlignment="1" applyProtection="1">
      <alignment vertical="center" wrapText="1"/>
      <protection hidden="1"/>
    </xf>
    <xf numFmtId="166" fontId="6" fillId="5" borderId="3" xfId="0" applyNumberFormat="1" applyFont="1" applyFill="1" applyBorder="1" applyAlignment="1" applyProtection="1">
      <alignment horizontal="center" vertical="center" wrapText="1"/>
      <protection hidden="1"/>
    </xf>
    <xf numFmtId="0" fontId="6" fillId="5" borderId="14" xfId="0" applyFont="1" applyFill="1" applyBorder="1" applyAlignment="1" applyProtection="1">
      <alignment horizontal="center" vertical="center" wrapText="1"/>
      <protection hidden="1"/>
    </xf>
    <xf numFmtId="165" fontId="6" fillId="5" borderId="14" xfId="0" applyNumberFormat="1" applyFont="1" applyFill="1" applyBorder="1" applyAlignment="1" applyProtection="1">
      <alignment horizontal="center" vertical="center" wrapText="1"/>
      <protection hidden="1"/>
    </xf>
    <xf numFmtId="168" fontId="7" fillId="5" borderId="18" xfId="0" applyNumberFormat="1" applyFont="1" applyFill="1" applyBorder="1" applyAlignment="1" applyProtection="1">
      <alignment horizontal="center" vertical="center" wrapText="1"/>
      <protection hidden="1"/>
    </xf>
    <xf numFmtId="168" fontId="7" fillId="2" borderId="0" xfId="0" applyNumberFormat="1" applyFont="1" applyFill="1" applyBorder="1" applyAlignment="1" applyProtection="1">
      <alignment horizontal="center" vertical="center" wrapText="1"/>
      <protection hidden="1"/>
    </xf>
    <xf numFmtId="168" fontId="7" fillId="5" borderId="10" xfId="0" applyNumberFormat="1" applyFont="1" applyFill="1" applyBorder="1" applyAlignment="1" applyProtection="1">
      <alignment horizontal="center" vertical="center" wrapText="1"/>
      <protection hidden="1"/>
    </xf>
    <xf numFmtId="0" fontId="37" fillId="7" borderId="9" xfId="0" applyFont="1" applyFill="1" applyBorder="1" applyAlignment="1" applyProtection="1">
      <alignment horizontal="center" vertical="center" wrapText="1"/>
      <protection hidden="1"/>
    </xf>
    <xf numFmtId="167" fontId="6" fillId="7" borderId="66" xfId="0" applyNumberFormat="1" applyFont="1" applyFill="1" applyBorder="1" applyAlignment="1" applyProtection="1">
      <alignment horizontal="center" vertical="center"/>
      <protection hidden="1"/>
    </xf>
    <xf numFmtId="167" fontId="24" fillId="0" borderId="1" xfId="0" applyNumberFormat="1" applyFont="1" applyFill="1" applyBorder="1" applyAlignment="1" applyProtection="1">
      <alignment horizontal="centerContinuous" vertical="center" wrapText="1"/>
      <protection hidden="1"/>
    </xf>
    <xf numFmtId="0" fontId="7" fillId="0" borderId="0" xfId="0" applyFont="1"/>
    <xf numFmtId="0" fontId="13" fillId="0" borderId="0" xfId="0" applyFont="1" applyFill="1" applyBorder="1" applyAlignment="1">
      <alignment horizontal="center" vertical="center"/>
    </xf>
    <xf numFmtId="0" fontId="39" fillId="0" borderId="0" xfId="0" applyFont="1" applyFill="1"/>
    <xf numFmtId="0" fontId="7" fillId="0" borderId="0" xfId="0" applyFont="1" applyAlignment="1">
      <alignment vertical="center"/>
    </xf>
    <xf numFmtId="22" fontId="7" fillId="0" borderId="0" xfId="0" applyNumberFormat="1" applyFont="1" applyAlignment="1">
      <alignment vertical="center" wrapText="1"/>
    </xf>
    <xf numFmtId="0" fontId="7" fillId="0" borderId="0" xfId="0" applyFont="1" applyAlignment="1">
      <alignment horizontal="center" vertical="center" wrapText="1"/>
    </xf>
    <xf numFmtId="0" fontId="7" fillId="0" borderId="0" xfId="0" applyFont="1" applyFill="1" applyBorder="1" applyAlignment="1">
      <alignment vertical="center"/>
    </xf>
    <xf numFmtId="0" fontId="7" fillId="0" borderId="0" xfId="0" applyFont="1" applyFill="1" applyBorder="1" applyAlignment="1">
      <alignment horizontal="center" vertical="center"/>
    </xf>
    <xf numFmtId="0" fontId="7" fillId="0" borderId="0" xfId="0" applyFont="1" applyFill="1" applyBorder="1" applyAlignment="1">
      <alignment horizontal="center" vertical="center" wrapText="1"/>
    </xf>
    <xf numFmtId="167" fontId="7" fillId="0" borderId="0" xfId="0" applyNumberFormat="1" applyFont="1" applyFill="1" applyBorder="1" applyAlignment="1">
      <alignment horizontal="center" vertical="center" wrapText="1"/>
    </xf>
    <xf numFmtId="0" fontId="6" fillId="0" borderId="0" xfId="0" applyFont="1" applyFill="1" applyBorder="1" applyAlignment="1">
      <alignment horizontal="center" vertical="center" wrapText="1"/>
    </xf>
    <xf numFmtId="167" fontId="6" fillId="0" borderId="0" xfId="0" applyNumberFormat="1" applyFont="1" applyFill="1" applyBorder="1" applyAlignment="1">
      <alignment horizontal="center" vertical="center" wrapText="1"/>
    </xf>
    <xf numFmtId="22" fontId="7" fillId="0" borderId="0" xfId="0" applyNumberFormat="1" applyFont="1" applyFill="1" applyBorder="1" applyAlignment="1">
      <alignment horizontal="center" vertical="center" wrapText="1"/>
    </xf>
    <xf numFmtId="0" fontId="6" fillId="5" borderId="19" xfId="0" applyFont="1" applyFill="1" applyBorder="1" applyAlignment="1" applyProtection="1">
      <alignment horizontal="center" vertical="center" wrapText="1"/>
      <protection hidden="1"/>
    </xf>
    <xf numFmtId="0" fontId="6" fillId="16" borderId="6" xfId="0" applyFont="1" applyFill="1" applyBorder="1" applyAlignment="1" applyProtection="1">
      <alignment horizontal="center" vertical="center" wrapText="1"/>
      <protection hidden="1"/>
    </xf>
    <xf numFmtId="0" fontId="6" fillId="16" borderId="21" xfId="0" applyFont="1" applyFill="1" applyBorder="1" applyAlignment="1" applyProtection="1">
      <alignment horizontal="center" vertical="center" wrapText="1"/>
      <protection hidden="1"/>
    </xf>
    <xf numFmtId="0" fontId="7" fillId="2" borderId="6" xfId="0" applyFont="1" applyFill="1" applyBorder="1" applyAlignment="1" applyProtection="1">
      <alignment horizontal="center" vertical="center" wrapText="1"/>
      <protection hidden="1"/>
    </xf>
    <xf numFmtId="0" fontId="7" fillId="2" borderId="0" xfId="0" applyFont="1" applyFill="1" applyBorder="1" applyAlignment="1" applyProtection="1">
      <alignment horizontal="center" vertical="center" wrapText="1"/>
      <protection hidden="1"/>
    </xf>
    <xf numFmtId="1" fontId="11" fillId="24" borderId="1" xfId="6" applyNumberFormat="1" applyFont="1" applyBorder="1" applyAlignment="1" applyProtection="1">
      <alignment horizontal="center" vertical="center"/>
      <protection locked="0" hidden="1"/>
    </xf>
    <xf numFmtId="1" fontId="7" fillId="7" borderId="9" xfId="0" applyNumberFormat="1" applyFont="1" applyFill="1" applyBorder="1" applyAlignment="1" applyProtection="1">
      <alignment horizontal="center" vertical="center" wrapText="1"/>
      <protection hidden="1"/>
    </xf>
    <xf numFmtId="171" fontId="7" fillId="7" borderId="9" xfId="0" applyNumberFormat="1" applyFont="1" applyFill="1" applyBorder="1" applyAlignment="1" applyProtection="1">
      <alignment horizontal="center" vertical="center" wrapText="1"/>
      <protection hidden="1"/>
    </xf>
    <xf numFmtId="0" fontId="37" fillId="7" borderId="40" xfId="0" applyFont="1" applyFill="1" applyBorder="1" applyAlignment="1" applyProtection="1">
      <alignment horizontal="center" vertical="center" wrapText="1"/>
      <protection hidden="1"/>
    </xf>
    <xf numFmtId="2" fontId="37" fillId="7" borderId="44" xfId="0" applyNumberFormat="1" applyFont="1" applyFill="1" applyBorder="1" applyAlignment="1" applyProtection="1">
      <alignment horizontal="center" vertical="center" wrapText="1"/>
      <protection hidden="1"/>
    </xf>
    <xf numFmtId="165" fontId="37" fillId="7" borderId="9" xfId="0" applyNumberFormat="1" applyFont="1" applyFill="1" applyBorder="1" applyAlignment="1" applyProtection="1">
      <alignment horizontal="center" vertical="center" wrapText="1"/>
      <protection hidden="1"/>
    </xf>
    <xf numFmtId="167" fontId="37" fillId="7" borderId="9" xfId="0" applyNumberFormat="1" applyFont="1" applyFill="1" applyBorder="1" applyAlignment="1" applyProtection="1">
      <alignment horizontal="center" vertical="center" wrapText="1"/>
      <protection hidden="1"/>
    </xf>
    <xf numFmtId="2" fontId="37" fillId="7" borderId="9" xfId="0" applyNumberFormat="1" applyFont="1" applyFill="1" applyBorder="1" applyAlignment="1" applyProtection="1">
      <alignment horizontal="center" vertical="center" wrapText="1"/>
      <protection hidden="1"/>
    </xf>
    <xf numFmtId="166" fontId="37" fillId="7" borderId="9" xfId="0" applyNumberFormat="1" applyFont="1" applyFill="1" applyBorder="1" applyAlignment="1" applyProtection="1">
      <alignment horizontal="center" vertical="center" wrapText="1"/>
      <protection hidden="1"/>
    </xf>
    <xf numFmtId="0" fontId="7" fillId="0" borderId="0" xfId="0" applyFont="1" applyAlignment="1" applyProtection="1">
      <alignment vertical="center" wrapText="1"/>
      <protection locked="0" hidden="1"/>
    </xf>
    <xf numFmtId="0" fontId="7" fillId="0" borderId="0" xfId="0" applyFont="1" applyFill="1" applyBorder="1" applyAlignment="1" applyProtection="1">
      <alignment horizontal="center" vertical="center" wrapText="1"/>
      <protection hidden="1"/>
    </xf>
    <xf numFmtId="0" fontId="7" fillId="0" borderId="0" xfId="0" applyFont="1" applyFill="1" applyBorder="1" applyAlignment="1" applyProtection="1">
      <alignment vertical="center" wrapText="1"/>
      <protection hidden="1"/>
    </xf>
    <xf numFmtId="0" fontId="13" fillId="0" borderId="0" xfId="0" applyFont="1" applyFill="1" applyBorder="1" applyAlignment="1" applyProtection="1">
      <alignment horizontal="center" vertical="center" wrapText="1"/>
      <protection hidden="1"/>
    </xf>
    <xf numFmtId="0" fontId="7" fillId="0" borderId="0" xfId="0" applyFont="1" applyFill="1" applyAlignment="1" applyProtection="1">
      <alignment vertical="center" wrapText="1"/>
      <protection hidden="1"/>
    </xf>
    <xf numFmtId="2" fontId="14" fillId="16" borderId="19" xfId="1" applyNumberFormat="1" applyFont="1" applyFill="1" applyBorder="1" applyAlignment="1" applyProtection="1">
      <alignment horizontal="center" vertical="center"/>
      <protection hidden="1"/>
    </xf>
    <xf numFmtId="14" fontId="7" fillId="19" borderId="22" xfId="0" applyNumberFormat="1" applyFont="1" applyFill="1" applyBorder="1" applyAlignment="1" applyProtection="1">
      <alignment horizontal="center" vertical="center" wrapText="1"/>
      <protection hidden="1"/>
    </xf>
    <xf numFmtId="2" fontId="14" fillId="16" borderId="22" xfId="1" applyNumberFormat="1" applyFont="1" applyFill="1" applyBorder="1" applyAlignment="1" applyProtection="1">
      <alignment horizontal="center" vertical="center" wrapText="1"/>
      <protection hidden="1"/>
    </xf>
    <xf numFmtId="0" fontId="11" fillId="24" borderId="1" xfId="6" applyFont="1" applyBorder="1" applyAlignment="1" applyProtection="1">
      <alignment horizontal="center" vertical="center"/>
      <protection locked="0" hidden="1"/>
    </xf>
    <xf numFmtId="0" fontId="6" fillId="16" borderId="1" xfId="0" applyFont="1" applyFill="1" applyBorder="1" applyAlignment="1" applyProtection="1">
      <alignment horizontal="center" vertical="center" wrapText="1"/>
      <protection hidden="1"/>
    </xf>
    <xf numFmtId="0" fontId="6" fillId="16" borderId="22" xfId="0" applyFont="1" applyFill="1" applyBorder="1" applyAlignment="1" applyProtection="1">
      <alignment horizontal="center" vertical="center" wrapText="1"/>
      <protection hidden="1"/>
    </xf>
    <xf numFmtId="0" fontId="6" fillId="21" borderId="68" xfId="0" applyFont="1" applyFill="1" applyBorder="1" applyAlignment="1" applyProtection="1">
      <alignment horizontal="center" vertical="center" wrapText="1"/>
      <protection hidden="1"/>
    </xf>
    <xf numFmtId="14" fontId="7" fillId="15" borderId="48" xfId="0" applyNumberFormat="1" applyFont="1" applyFill="1" applyBorder="1" applyAlignment="1" applyProtection="1">
      <alignment horizontal="center" vertical="center" wrapText="1"/>
      <protection hidden="1"/>
    </xf>
    <xf numFmtId="2" fontId="7" fillId="15" borderId="40" xfId="0" applyNumberFormat="1" applyFont="1" applyFill="1" applyBorder="1" applyAlignment="1" applyProtection="1">
      <alignment horizontal="center" vertical="center" wrapText="1"/>
      <protection hidden="1"/>
    </xf>
    <xf numFmtId="14" fontId="7" fillId="12" borderId="40" xfId="0" applyNumberFormat="1" applyFont="1" applyFill="1" applyBorder="1" applyAlignment="1" applyProtection="1">
      <alignment horizontal="center" vertical="center" wrapText="1"/>
      <protection hidden="1"/>
    </xf>
    <xf numFmtId="0" fontId="7" fillId="15" borderId="40" xfId="0" applyFont="1" applyFill="1" applyBorder="1" applyAlignment="1" applyProtection="1">
      <alignment horizontal="center" vertical="center" wrapText="1"/>
      <protection hidden="1"/>
    </xf>
    <xf numFmtId="167" fontId="7" fillId="15" borderId="40" xfId="0" applyNumberFormat="1" applyFont="1" applyFill="1" applyBorder="1" applyAlignment="1" applyProtection="1">
      <alignment horizontal="center" vertical="center" wrapText="1"/>
      <protection hidden="1"/>
    </xf>
    <xf numFmtId="0" fontId="7" fillId="19" borderId="9" xfId="0" applyFont="1" applyFill="1" applyBorder="1" applyAlignment="1" applyProtection="1">
      <alignment horizontal="center" vertical="center" wrapText="1"/>
      <protection hidden="1"/>
    </xf>
    <xf numFmtId="169" fontId="7" fillId="15" borderId="9" xfId="0" applyNumberFormat="1" applyFont="1" applyFill="1" applyBorder="1" applyAlignment="1" applyProtection="1">
      <alignment horizontal="center" vertical="center" wrapText="1"/>
      <protection hidden="1"/>
    </xf>
    <xf numFmtId="0" fontId="7" fillId="2" borderId="29" xfId="0" applyFont="1" applyFill="1" applyBorder="1" applyAlignment="1" applyProtection="1">
      <alignment horizontal="center" vertical="center" wrapText="1"/>
      <protection hidden="1"/>
    </xf>
    <xf numFmtId="0" fontId="7" fillId="2" borderId="4" xfId="0" applyFont="1" applyFill="1" applyBorder="1" applyAlignment="1" applyProtection="1">
      <alignment horizontal="center" vertical="center" wrapText="1"/>
      <protection hidden="1"/>
    </xf>
    <xf numFmtId="0" fontId="11" fillId="24" borderId="1" xfId="6" applyFont="1" applyBorder="1" applyAlignment="1" applyProtection="1">
      <alignment horizontal="center" vertical="center" wrapText="1"/>
      <protection locked="0" hidden="1"/>
    </xf>
    <xf numFmtId="1" fontId="7" fillId="15" borderId="14" xfId="0" applyNumberFormat="1" applyFont="1" applyFill="1" applyBorder="1" applyAlignment="1" applyProtection="1">
      <alignment vertical="center" wrapText="1"/>
      <protection hidden="1"/>
    </xf>
    <xf numFmtId="166" fontId="7" fillId="15" borderId="9" xfId="0" applyNumberFormat="1" applyFont="1" applyFill="1" applyBorder="1" applyAlignment="1" applyProtection="1">
      <alignment horizontal="center" vertical="center" wrapText="1"/>
      <protection hidden="1"/>
    </xf>
    <xf numFmtId="14" fontId="7" fillId="12" borderId="9" xfId="0" applyNumberFormat="1" applyFont="1" applyFill="1" applyBorder="1" applyAlignment="1" applyProtection="1">
      <alignment horizontal="center" vertical="center" wrapText="1"/>
      <protection hidden="1"/>
    </xf>
    <xf numFmtId="14" fontId="7" fillId="12" borderId="9" xfId="0" applyNumberFormat="1" applyFont="1" applyFill="1" applyBorder="1" applyAlignment="1" applyProtection="1">
      <alignment horizontal="center" vertical="center"/>
      <protection hidden="1"/>
    </xf>
    <xf numFmtId="1" fontId="7" fillId="15" borderId="9" xfId="0" applyNumberFormat="1" applyFont="1" applyFill="1" applyBorder="1" applyAlignment="1" applyProtection="1">
      <alignment horizontal="center" vertical="center" wrapText="1"/>
      <protection hidden="1"/>
    </xf>
    <xf numFmtId="0" fontId="11" fillId="24" borderId="71" xfId="6" applyFont="1" applyBorder="1" applyAlignment="1" applyProtection="1">
      <alignment horizontal="center" vertical="center" wrapText="1"/>
      <protection locked="0" hidden="1"/>
    </xf>
    <xf numFmtId="0" fontId="7" fillId="2" borderId="24" xfId="0" applyFont="1" applyFill="1" applyBorder="1" applyAlignment="1" applyProtection="1">
      <alignment horizontal="center" vertical="center" wrapText="1"/>
      <protection hidden="1"/>
    </xf>
    <xf numFmtId="0" fontId="7" fillId="2" borderId="49" xfId="0" applyFont="1" applyFill="1" applyBorder="1" applyAlignment="1" applyProtection="1">
      <alignment horizontal="center" vertical="center" wrapText="1"/>
      <protection locked="0" hidden="1"/>
    </xf>
    <xf numFmtId="0" fontId="11" fillId="24" borderId="70" xfId="6" applyFont="1" applyBorder="1" applyAlignment="1" applyProtection="1">
      <alignment horizontal="center" vertical="center" wrapText="1"/>
      <protection locked="0" hidden="1"/>
    </xf>
    <xf numFmtId="166" fontId="7" fillId="19" borderId="9" xfId="0" applyNumberFormat="1" applyFont="1" applyFill="1" applyBorder="1" applyAlignment="1" applyProtection="1">
      <alignment horizontal="center" vertical="center" wrapText="1"/>
      <protection hidden="1"/>
    </xf>
    <xf numFmtId="0" fontId="39" fillId="2" borderId="49" xfId="0" applyFont="1" applyFill="1" applyBorder="1" applyAlignment="1" applyProtection="1">
      <alignment horizontal="center" vertical="center" wrapText="1"/>
      <protection hidden="1"/>
    </xf>
    <xf numFmtId="0" fontId="11" fillId="24" borderId="50" xfId="6" applyFont="1" applyBorder="1" applyAlignment="1" applyProtection="1">
      <alignment horizontal="center" vertical="center" wrapText="1"/>
      <protection locked="0" hidden="1"/>
    </xf>
    <xf numFmtId="2" fontId="7" fillId="15" borderId="9" xfId="0" applyNumberFormat="1" applyFont="1" applyFill="1" applyBorder="1" applyAlignment="1" applyProtection="1">
      <alignment horizontal="center" vertical="center" wrapText="1"/>
      <protection hidden="1"/>
    </xf>
    <xf numFmtId="0" fontId="6" fillId="16" borderId="79" xfId="0" applyFont="1" applyFill="1" applyBorder="1" applyAlignment="1" applyProtection="1">
      <alignment horizontal="center" vertical="center" wrapText="1"/>
      <protection hidden="1"/>
    </xf>
    <xf numFmtId="1" fontId="7" fillId="15" borderId="14" xfId="0" applyNumberFormat="1" applyFont="1" applyFill="1" applyBorder="1" applyAlignment="1" applyProtection="1">
      <alignment horizontal="center" vertical="center" wrapText="1"/>
      <protection hidden="1"/>
    </xf>
    <xf numFmtId="14" fontId="7" fillId="12" borderId="11" xfId="0" applyNumberFormat="1" applyFont="1" applyFill="1" applyBorder="1" applyAlignment="1" applyProtection="1">
      <alignment horizontal="center" vertical="center" wrapText="1"/>
      <protection hidden="1"/>
    </xf>
    <xf numFmtId="0" fontId="7" fillId="7" borderId="19" xfId="0" applyFont="1" applyFill="1" applyBorder="1" applyAlignment="1" applyProtection="1">
      <alignment horizontal="center" vertical="center" wrapText="1"/>
      <protection hidden="1"/>
    </xf>
    <xf numFmtId="0" fontId="7" fillId="7" borderId="20" xfId="0" applyFont="1" applyFill="1" applyBorder="1" applyAlignment="1" applyProtection="1">
      <alignment horizontal="center" vertical="center" wrapText="1"/>
      <protection hidden="1"/>
    </xf>
    <xf numFmtId="0" fontId="11" fillId="24" borderId="8" xfId="6" applyFont="1" applyBorder="1" applyAlignment="1" applyProtection="1">
      <alignment horizontal="center" vertical="center" wrapText="1"/>
      <protection locked="0" hidden="1"/>
    </xf>
    <xf numFmtId="0" fontId="6" fillId="31" borderId="30" xfId="0" applyFont="1" applyFill="1" applyBorder="1" applyAlignment="1" applyProtection="1">
      <alignment horizontal="center" vertical="center" wrapText="1"/>
      <protection hidden="1"/>
    </xf>
    <xf numFmtId="0" fontId="6" fillId="31" borderId="36" xfId="0" applyFont="1" applyFill="1" applyBorder="1" applyAlignment="1" applyProtection="1">
      <alignment horizontal="center" vertical="center" wrapText="1"/>
      <protection hidden="1"/>
    </xf>
    <xf numFmtId="0" fontId="7" fillId="0" borderId="0" xfId="0" applyFont="1" applyBorder="1" applyAlignment="1" applyProtection="1">
      <alignment vertical="center" wrapText="1"/>
      <protection hidden="1"/>
    </xf>
    <xf numFmtId="0" fontId="6" fillId="16" borderId="74" xfId="0" applyFont="1" applyFill="1" applyBorder="1" applyAlignment="1" applyProtection="1">
      <alignment horizontal="center" vertical="center" wrapText="1"/>
      <protection hidden="1"/>
    </xf>
    <xf numFmtId="0" fontId="6" fillId="31" borderId="43" xfId="0" applyFont="1" applyFill="1" applyBorder="1" applyAlignment="1" applyProtection="1">
      <alignment horizontal="center" vertical="center" wrapText="1"/>
      <protection hidden="1"/>
    </xf>
    <xf numFmtId="2" fontId="6" fillId="31" borderId="37" xfId="0" applyNumberFormat="1" applyFont="1" applyFill="1" applyBorder="1" applyAlignment="1" applyProtection="1">
      <alignment horizontal="center" vertical="center" wrapText="1"/>
      <protection hidden="1"/>
    </xf>
    <xf numFmtId="0" fontId="6" fillId="16" borderId="66" xfId="0" applyFont="1" applyFill="1" applyBorder="1" applyAlignment="1" applyProtection="1">
      <alignment horizontal="center" vertical="center" wrapText="1"/>
      <protection hidden="1"/>
    </xf>
    <xf numFmtId="165" fontId="7" fillId="15" borderId="9" xfId="0" applyNumberFormat="1" applyFont="1" applyFill="1" applyBorder="1" applyAlignment="1" applyProtection="1">
      <alignment horizontal="center" vertical="center" wrapText="1"/>
      <protection hidden="1"/>
    </xf>
    <xf numFmtId="168" fontId="7" fillId="15" borderId="9" xfId="0" applyNumberFormat="1" applyFont="1" applyFill="1" applyBorder="1" applyAlignment="1" applyProtection="1">
      <alignment horizontal="center" vertical="center" wrapText="1"/>
      <protection hidden="1"/>
    </xf>
    <xf numFmtId="171" fontId="7" fillId="19" borderId="9" xfId="0" applyNumberFormat="1" applyFont="1" applyFill="1" applyBorder="1" applyAlignment="1" applyProtection="1">
      <alignment horizontal="center" vertical="center" wrapText="1"/>
      <protection hidden="1"/>
    </xf>
    <xf numFmtId="0" fontId="7" fillId="12" borderId="9" xfId="0" applyFont="1" applyFill="1" applyBorder="1" applyAlignment="1" applyProtection="1">
      <alignment horizontal="center" vertical="center" wrapText="1"/>
      <protection hidden="1"/>
    </xf>
    <xf numFmtId="0" fontId="7" fillId="0" borderId="24" xfId="0" applyFont="1" applyFill="1" applyBorder="1" applyAlignment="1" applyProtection="1">
      <alignment horizontal="center" vertical="center" wrapText="1"/>
      <protection hidden="1"/>
    </xf>
    <xf numFmtId="0" fontId="7" fillId="0" borderId="49" xfId="0" applyFont="1" applyFill="1" applyBorder="1" applyAlignment="1" applyProtection="1">
      <alignment horizontal="center" vertical="center" wrapText="1"/>
      <protection hidden="1"/>
    </xf>
    <xf numFmtId="0" fontId="6" fillId="16" borderId="50" xfId="0" applyFont="1" applyFill="1" applyBorder="1" applyAlignment="1" applyProtection="1">
      <alignment horizontal="center" vertical="center" wrapText="1"/>
      <protection hidden="1"/>
    </xf>
    <xf numFmtId="1" fontId="7" fillId="15" borderId="57" xfId="0" applyNumberFormat="1" applyFont="1" applyFill="1" applyBorder="1" applyAlignment="1" applyProtection="1">
      <alignment horizontal="center" vertical="center" wrapText="1"/>
      <protection hidden="1"/>
    </xf>
    <xf numFmtId="1" fontId="7" fillId="15" borderId="44" xfId="0" applyNumberFormat="1" applyFont="1" applyFill="1" applyBorder="1" applyAlignment="1" applyProtection="1">
      <alignment horizontal="center" vertical="center" wrapText="1"/>
      <protection hidden="1"/>
    </xf>
    <xf numFmtId="14" fontId="7" fillId="12" borderId="44" xfId="0" applyNumberFormat="1" applyFont="1" applyFill="1" applyBorder="1" applyAlignment="1" applyProtection="1">
      <alignment horizontal="center" vertical="center" wrapText="1"/>
      <protection hidden="1"/>
    </xf>
    <xf numFmtId="2" fontId="7" fillId="15" borderId="44" xfId="0" applyNumberFormat="1" applyFont="1" applyFill="1" applyBorder="1" applyAlignment="1" applyProtection="1">
      <alignment horizontal="center" vertical="center" wrapText="1"/>
      <protection hidden="1"/>
    </xf>
    <xf numFmtId="165" fontId="7" fillId="15" borderId="44" xfId="0" applyNumberFormat="1" applyFont="1" applyFill="1" applyBorder="1" applyAlignment="1" applyProtection="1">
      <alignment horizontal="center" vertical="center" wrapText="1"/>
      <protection hidden="1"/>
    </xf>
    <xf numFmtId="166" fontId="7" fillId="15" borderId="44" xfId="0" applyNumberFormat="1" applyFont="1" applyFill="1" applyBorder="1" applyAlignment="1" applyProtection="1">
      <alignment horizontal="center" vertical="center" wrapText="1"/>
      <protection hidden="1"/>
    </xf>
    <xf numFmtId="171" fontId="7" fillId="19" borderId="44" xfId="0" applyNumberFormat="1" applyFont="1" applyFill="1" applyBorder="1" applyAlignment="1" applyProtection="1">
      <alignment horizontal="center" vertical="center" wrapText="1"/>
      <protection hidden="1"/>
    </xf>
    <xf numFmtId="0" fontId="7" fillId="19" borderId="44" xfId="0" applyFont="1" applyFill="1" applyBorder="1" applyAlignment="1" applyProtection="1">
      <alignment horizontal="center" vertical="center" wrapText="1"/>
      <protection hidden="1"/>
    </xf>
    <xf numFmtId="169" fontId="7" fillId="15" borderId="44" xfId="0" applyNumberFormat="1" applyFont="1" applyFill="1" applyBorder="1" applyAlignment="1" applyProtection="1">
      <alignment horizontal="center" vertical="center" wrapText="1"/>
      <protection hidden="1"/>
    </xf>
    <xf numFmtId="0" fontId="7" fillId="0" borderId="46" xfId="0" applyFont="1" applyFill="1" applyBorder="1" applyAlignment="1" applyProtection="1">
      <alignment horizontal="center" vertical="center" wrapText="1"/>
      <protection hidden="1"/>
    </xf>
    <xf numFmtId="0" fontId="7" fillId="0" borderId="38" xfId="0" applyFont="1" applyFill="1" applyBorder="1" applyAlignment="1" applyProtection="1">
      <alignment horizontal="center" vertical="center" wrapText="1"/>
      <protection hidden="1"/>
    </xf>
    <xf numFmtId="0" fontId="6" fillId="16" borderId="8" xfId="0" applyFont="1" applyFill="1" applyBorder="1" applyAlignment="1" applyProtection="1">
      <alignment horizontal="center" vertical="center" wrapText="1"/>
      <protection hidden="1"/>
    </xf>
    <xf numFmtId="2" fontId="7" fillId="7" borderId="9" xfId="0" applyNumberFormat="1" applyFont="1" applyFill="1" applyBorder="1" applyAlignment="1" applyProtection="1">
      <alignment horizontal="center" vertical="center" wrapText="1"/>
      <protection hidden="1"/>
    </xf>
    <xf numFmtId="2" fontId="7" fillId="7" borderId="34" xfId="0" applyNumberFormat="1" applyFont="1" applyFill="1" applyBorder="1" applyAlignment="1" applyProtection="1">
      <alignment horizontal="center" vertical="center" wrapText="1"/>
      <protection hidden="1"/>
    </xf>
    <xf numFmtId="0" fontId="52" fillId="2" borderId="0" xfId="0" applyFont="1" applyFill="1" applyBorder="1" applyAlignment="1" applyProtection="1">
      <alignment vertical="center" wrapText="1"/>
      <protection hidden="1"/>
    </xf>
    <xf numFmtId="165" fontId="7" fillId="7" borderId="30" xfId="0" applyNumberFormat="1" applyFont="1" applyFill="1" applyBorder="1" applyAlignment="1" applyProtection="1">
      <alignment horizontal="center" vertical="center" wrapText="1"/>
      <protection hidden="1"/>
    </xf>
    <xf numFmtId="165" fontId="7" fillId="12" borderId="18" xfId="0" applyNumberFormat="1" applyFont="1" applyFill="1" applyBorder="1" applyAlignment="1" applyProtection="1">
      <alignment horizontal="center" vertical="center" wrapText="1"/>
      <protection hidden="1"/>
    </xf>
    <xf numFmtId="165" fontId="7" fillId="12" borderId="36" xfId="0" applyNumberFormat="1" applyFont="1" applyFill="1" applyBorder="1" applyAlignment="1" applyProtection="1">
      <alignment horizontal="center" vertical="center" wrapText="1"/>
      <protection hidden="1"/>
    </xf>
    <xf numFmtId="166" fontId="53" fillId="20" borderId="36" xfId="0" applyNumberFormat="1" applyFont="1" applyFill="1" applyBorder="1" applyAlignment="1" applyProtection="1">
      <alignment horizontal="center" vertical="center"/>
      <protection hidden="1"/>
    </xf>
    <xf numFmtId="2" fontId="7" fillId="7" borderId="32" xfId="0" applyNumberFormat="1" applyFont="1" applyFill="1" applyBorder="1" applyAlignment="1" applyProtection="1">
      <alignment horizontal="center" vertical="center" wrapText="1"/>
      <protection hidden="1"/>
    </xf>
    <xf numFmtId="165" fontId="7" fillId="12" borderId="9" xfId="0" applyNumberFormat="1" applyFont="1" applyFill="1" applyBorder="1" applyAlignment="1" applyProtection="1">
      <alignment horizontal="center" vertical="center" wrapText="1"/>
      <protection hidden="1"/>
    </xf>
    <xf numFmtId="165" fontId="7" fillId="12" borderId="34" xfId="0" applyNumberFormat="1" applyFont="1" applyFill="1" applyBorder="1" applyAlignment="1" applyProtection="1">
      <alignment horizontal="center" vertical="center" wrapText="1"/>
      <protection hidden="1"/>
    </xf>
    <xf numFmtId="166" fontId="53" fillId="20" borderId="34" xfId="0" applyNumberFormat="1" applyFont="1" applyFill="1" applyBorder="1" applyAlignment="1" applyProtection="1">
      <alignment horizontal="center" vertical="center"/>
      <protection hidden="1"/>
    </xf>
    <xf numFmtId="0" fontId="7" fillId="12" borderId="14" xfId="0" applyFont="1" applyFill="1" applyBorder="1" applyAlignment="1" applyProtection="1">
      <alignment horizontal="center" vertical="center" wrapText="1"/>
      <protection hidden="1"/>
    </xf>
    <xf numFmtId="0" fontId="7" fillId="12" borderId="34" xfId="0" applyFont="1" applyFill="1" applyBorder="1" applyAlignment="1" applyProtection="1">
      <alignment horizontal="center" vertical="center" wrapText="1"/>
      <protection hidden="1"/>
    </xf>
    <xf numFmtId="164" fontId="7" fillId="7" borderId="32" xfId="0" applyNumberFormat="1" applyFont="1" applyFill="1" applyBorder="1" applyAlignment="1" applyProtection="1">
      <alignment horizontal="center" vertical="center" wrapText="1"/>
      <protection hidden="1"/>
    </xf>
    <xf numFmtId="176" fontId="7" fillId="12" borderId="34" xfId="0" applyNumberFormat="1" applyFont="1" applyFill="1" applyBorder="1" applyAlignment="1" applyProtection="1">
      <alignment horizontal="center" vertical="center" wrapText="1"/>
      <protection hidden="1"/>
    </xf>
    <xf numFmtId="2" fontId="7" fillId="7" borderId="44" xfId="0" applyNumberFormat="1" applyFont="1" applyFill="1" applyBorder="1" applyAlignment="1" applyProtection="1">
      <alignment horizontal="center" vertical="center" wrapText="1"/>
      <protection hidden="1"/>
    </xf>
    <xf numFmtId="165" fontId="7" fillId="12" borderId="37" xfId="0" applyNumberFormat="1" applyFont="1" applyFill="1" applyBorder="1" applyAlignment="1" applyProtection="1">
      <alignment horizontal="center" vertical="center" wrapText="1"/>
      <protection hidden="1"/>
    </xf>
    <xf numFmtId="166" fontId="53" fillId="20" borderId="37" xfId="0" applyNumberFormat="1" applyFont="1" applyFill="1" applyBorder="1" applyAlignment="1" applyProtection="1">
      <alignment horizontal="center" vertical="center"/>
      <protection hidden="1"/>
    </xf>
    <xf numFmtId="2" fontId="7" fillId="0" borderId="0" xfId="0" applyNumberFormat="1" applyFont="1" applyAlignment="1" applyProtection="1">
      <alignment vertical="center" wrapText="1"/>
      <protection hidden="1"/>
    </xf>
    <xf numFmtId="14" fontId="7" fillId="0" borderId="0" xfId="0" applyNumberFormat="1" applyFont="1" applyAlignment="1" applyProtection="1">
      <alignment vertical="center" wrapText="1"/>
      <protection hidden="1"/>
    </xf>
    <xf numFmtId="183" fontId="7" fillId="12" borderId="57" xfId="0" applyNumberFormat="1" applyFont="1" applyFill="1" applyBorder="1" applyAlignment="1" applyProtection="1">
      <alignment horizontal="center" vertical="center" wrapText="1"/>
      <protection hidden="1"/>
    </xf>
    <xf numFmtId="0" fontId="7" fillId="12" borderId="44" xfId="0" applyFont="1" applyFill="1" applyBorder="1" applyAlignment="1" applyProtection="1">
      <alignment horizontal="center" vertical="center" wrapText="1"/>
      <protection hidden="1"/>
    </xf>
    <xf numFmtId="183" fontId="7" fillId="12" borderId="44" xfId="0" applyNumberFormat="1" applyFont="1" applyFill="1" applyBorder="1" applyAlignment="1" applyProtection="1">
      <alignment horizontal="center" vertical="center" wrapText="1"/>
      <protection hidden="1"/>
    </xf>
    <xf numFmtId="0" fontId="7" fillId="20" borderId="37" xfId="0" applyFont="1" applyFill="1" applyBorder="1" applyAlignment="1" applyProtection="1">
      <alignment horizontal="center" vertical="center" wrapText="1"/>
      <protection hidden="1"/>
    </xf>
    <xf numFmtId="0" fontId="7" fillId="2" borderId="2" xfId="0" applyFont="1" applyFill="1" applyBorder="1" applyAlignment="1" applyProtection="1">
      <alignment vertical="center" wrapText="1"/>
      <protection hidden="1"/>
    </xf>
    <xf numFmtId="0" fontId="7" fillId="2" borderId="3" xfId="0" applyFont="1" applyFill="1" applyBorder="1" applyAlignment="1" applyProtection="1">
      <alignment vertical="center" wrapText="1"/>
      <protection hidden="1"/>
    </xf>
    <xf numFmtId="0" fontId="7" fillId="2" borderId="4" xfId="0" applyFont="1" applyFill="1" applyBorder="1" applyAlignment="1" applyProtection="1">
      <alignment vertical="center" wrapText="1"/>
      <protection hidden="1"/>
    </xf>
    <xf numFmtId="0" fontId="6" fillId="5" borderId="1" xfId="0" applyFont="1" applyFill="1" applyBorder="1" applyAlignment="1" applyProtection="1">
      <alignment horizontal="center" vertical="center" wrapText="1"/>
      <protection hidden="1"/>
    </xf>
    <xf numFmtId="0" fontId="7" fillId="2" borderId="49" xfId="0" applyFont="1" applyFill="1" applyBorder="1" applyAlignment="1" applyProtection="1">
      <alignment vertical="center" wrapText="1"/>
      <protection hidden="1"/>
    </xf>
    <xf numFmtId="166" fontId="7" fillId="6" borderId="48" xfId="0" applyNumberFormat="1" applyFont="1" applyFill="1" applyBorder="1" applyAlignment="1" applyProtection="1">
      <alignment horizontal="center" vertical="center"/>
      <protection locked="0" hidden="1"/>
    </xf>
    <xf numFmtId="166" fontId="7" fillId="7" borderId="40" xfId="0" applyNumberFormat="1" applyFont="1" applyFill="1" applyBorder="1" applyAlignment="1" applyProtection="1">
      <alignment horizontal="center" vertical="center"/>
      <protection hidden="1"/>
    </xf>
    <xf numFmtId="1" fontId="7" fillId="6" borderId="40" xfId="0" applyNumberFormat="1" applyFont="1" applyFill="1" applyBorder="1" applyAlignment="1" applyProtection="1">
      <alignment horizontal="center" vertical="center"/>
      <protection locked="0" hidden="1"/>
    </xf>
    <xf numFmtId="1" fontId="7" fillId="6" borderId="40" xfId="0" applyNumberFormat="1" applyFont="1" applyFill="1" applyBorder="1" applyAlignment="1" applyProtection="1">
      <alignment horizontal="center" vertical="center" wrapText="1"/>
      <protection locked="0" hidden="1"/>
    </xf>
    <xf numFmtId="1" fontId="7" fillId="7" borderId="41" xfId="0" applyNumberFormat="1" applyFont="1" applyFill="1" applyBorder="1" applyAlignment="1" applyProtection="1">
      <alignment horizontal="center" vertical="center" wrapText="1"/>
      <protection hidden="1"/>
    </xf>
    <xf numFmtId="0" fontId="7" fillId="6" borderId="39" xfId="0" applyFont="1" applyFill="1" applyBorder="1" applyAlignment="1" applyProtection="1">
      <alignment horizontal="center" vertical="center"/>
      <protection locked="0" hidden="1"/>
    </xf>
    <xf numFmtId="0" fontId="7" fillId="6" borderId="40" xfId="0" applyFont="1" applyFill="1" applyBorder="1" applyAlignment="1" applyProtection="1">
      <alignment horizontal="center" vertical="center"/>
      <protection locked="0" hidden="1"/>
    </xf>
    <xf numFmtId="0" fontId="7" fillId="6" borderId="40" xfId="0" applyFont="1" applyFill="1" applyBorder="1" applyAlignment="1" applyProtection="1">
      <alignment horizontal="center" vertical="center" wrapText="1"/>
      <protection locked="0" hidden="1"/>
    </xf>
    <xf numFmtId="1" fontId="7" fillId="7" borderId="40" xfId="0" applyNumberFormat="1" applyFont="1" applyFill="1" applyBorder="1" applyAlignment="1" applyProtection="1">
      <alignment horizontal="center" vertical="center" wrapText="1"/>
      <protection hidden="1"/>
    </xf>
    <xf numFmtId="0" fontId="7" fillId="6" borderId="41" xfId="0" applyFont="1" applyFill="1" applyBorder="1" applyAlignment="1" applyProtection="1">
      <alignment horizontal="center" vertical="center" wrapText="1"/>
      <protection locked="0" hidden="1"/>
    </xf>
    <xf numFmtId="0" fontId="6" fillId="5" borderId="66" xfId="0" applyFont="1" applyFill="1" applyBorder="1" applyAlignment="1" applyProtection="1">
      <alignment horizontal="center" vertical="center" wrapText="1"/>
      <protection hidden="1"/>
    </xf>
    <xf numFmtId="166" fontId="7" fillId="6" borderId="14" xfId="0" applyNumberFormat="1" applyFont="1" applyFill="1" applyBorder="1" applyAlignment="1" applyProtection="1">
      <alignment horizontal="center" vertical="center"/>
      <protection locked="0" hidden="1"/>
    </xf>
    <xf numFmtId="166" fontId="7" fillId="7" borderId="9" xfId="0" applyNumberFormat="1" applyFont="1" applyFill="1" applyBorder="1" applyAlignment="1" applyProtection="1">
      <alignment horizontal="center" vertical="center"/>
      <protection hidden="1"/>
    </xf>
    <xf numFmtId="1" fontId="7" fillId="6" borderId="9" xfId="0" applyNumberFormat="1" applyFont="1" applyFill="1" applyBorder="1" applyAlignment="1" applyProtection="1">
      <alignment horizontal="center" vertical="center"/>
      <protection locked="0" hidden="1"/>
    </xf>
    <xf numFmtId="1" fontId="7" fillId="6" borderId="9" xfId="0" applyNumberFormat="1" applyFont="1" applyFill="1" applyBorder="1" applyAlignment="1" applyProtection="1">
      <alignment horizontal="center" vertical="center" wrapText="1"/>
      <protection locked="0" hidden="1"/>
    </xf>
    <xf numFmtId="1" fontId="7" fillId="7" borderId="34" xfId="0" applyNumberFormat="1" applyFont="1" applyFill="1" applyBorder="1" applyAlignment="1" applyProtection="1">
      <alignment horizontal="center" vertical="center" wrapText="1"/>
      <protection hidden="1"/>
    </xf>
    <xf numFmtId="166" fontId="7" fillId="6" borderId="32" xfId="0" applyNumberFormat="1" applyFont="1" applyFill="1" applyBorder="1" applyAlignment="1" applyProtection="1">
      <alignment horizontal="center" vertical="center"/>
      <protection locked="0" hidden="1"/>
    </xf>
    <xf numFmtId="0" fontId="7" fillId="6" borderId="9" xfId="0" applyFont="1" applyFill="1" applyBorder="1" applyAlignment="1" applyProtection="1">
      <alignment horizontal="center" vertical="center"/>
      <protection locked="0" hidden="1"/>
    </xf>
    <xf numFmtId="0" fontId="7" fillId="6" borderId="34" xfId="0" applyFont="1" applyFill="1" applyBorder="1" applyAlignment="1" applyProtection="1">
      <alignment horizontal="center" vertical="center" wrapText="1"/>
      <protection locked="0" hidden="1"/>
    </xf>
    <xf numFmtId="0" fontId="6" fillId="5" borderId="69" xfId="0" applyFont="1" applyFill="1" applyBorder="1" applyAlignment="1" applyProtection="1">
      <alignment horizontal="center" vertical="center" wrapText="1"/>
      <protection hidden="1"/>
    </xf>
    <xf numFmtId="166" fontId="7" fillId="6" borderId="57" xfId="0" applyNumberFormat="1" applyFont="1" applyFill="1" applyBorder="1" applyAlignment="1" applyProtection="1">
      <alignment horizontal="center" vertical="center"/>
      <protection locked="0" hidden="1"/>
    </xf>
    <xf numFmtId="1" fontId="7" fillId="6" borderId="44" xfId="0" applyNumberFormat="1" applyFont="1" applyFill="1" applyBorder="1" applyAlignment="1" applyProtection="1">
      <alignment horizontal="center" vertical="center"/>
      <protection locked="0" hidden="1"/>
    </xf>
    <xf numFmtId="1" fontId="7" fillId="6" borderId="44" xfId="0" applyNumberFormat="1" applyFont="1" applyFill="1" applyBorder="1" applyAlignment="1" applyProtection="1">
      <alignment horizontal="center" vertical="center" wrapText="1"/>
      <protection locked="0" hidden="1"/>
    </xf>
    <xf numFmtId="1" fontId="7" fillId="7" borderId="37" xfId="0" applyNumberFormat="1" applyFont="1" applyFill="1" applyBorder="1" applyAlignment="1" applyProtection="1">
      <alignment horizontal="center" vertical="center" wrapText="1"/>
      <protection hidden="1"/>
    </xf>
    <xf numFmtId="166" fontId="7" fillId="6" borderId="43" xfId="0" applyNumberFormat="1" applyFont="1" applyFill="1" applyBorder="1" applyAlignment="1" applyProtection="1">
      <alignment horizontal="center" vertical="center"/>
      <protection locked="0" hidden="1"/>
    </xf>
    <xf numFmtId="0" fontId="7" fillId="6" borderId="44" xfId="0" applyFont="1" applyFill="1" applyBorder="1" applyAlignment="1" applyProtection="1">
      <alignment horizontal="center" vertical="center"/>
      <protection locked="0" hidden="1"/>
    </xf>
    <xf numFmtId="1" fontId="7" fillId="7" borderId="44" xfId="0" applyNumberFormat="1" applyFont="1" applyFill="1" applyBorder="1" applyAlignment="1" applyProtection="1">
      <alignment horizontal="center" vertical="center" wrapText="1"/>
      <protection hidden="1"/>
    </xf>
    <xf numFmtId="0" fontId="7" fillId="6" borderId="37" xfId="0" applyFont="1" applyFill="1" applyBorder="1" applyAlignment="1" applyProtection="1">
      <alignment horizontal="center" vertical="center" wrapText="1"/>
      <protection locked="0" hidden="1"/>
    </xf>
    <xf numFmtId="0" fontId="7" fillId="2" borderId="47" xfId="0" applyFont="1" applyFill="1" applyBorder="1" applyAlignment="1" applyProtection="1">
      <alignment vertical="center" wrapText="1"/>
      <protection hidden="1"/>
    </xf>
    <xf numFmtId="0" fontId="7" fillId="2" borderId="5" xfId="0" applyFont="1" applyFill="1" applyBorder="1" applyAlignment="1" applyProtection="1">
      <alignment vertical="center" wrapText="1"/>
      <protection hidden="1"/>
    </xf>
    <xf numFmtId="0" fontId="7" fillId="2" borderId="38" xfId="0" applyFont="1" applyFill="1" applyBorder="1" applyAlignment="1" applyProtection="1">
      <alignment vertical="center" wrapText="1"/>
      <protection hidden="1"/>
    </xf>
    <xf numFmtId="166" fontId="6" fillId="5" borderId="1" xfId="0" applyNumberFormat="1" applyFont="1" applyFill="1" applyBorder="1" applyAlignment="1" applyProtection="1">
      <alignment horizontal="center" vertical="center" wrapText="1"/>
      <protection hidden="1"/>
    </xf>
    <xf numFmtId="166" fontId="7" fillId="0" borderId="0" xfId="0" applyNumberFormat="1" applyFont="1" applyAlignment="1" applyProtection="1">
      <alignment horizontal="center" vertical="center" wrapText="1"/>
      <protection hidden="1"/>
    </xf>
    <xf numFmtId="0" fontId="7" fillId="5" borderId="30" xfId="0" applyFont="1" applyFill="1" applyBorder="1" applyAlignment="1" applyProtection="1">
      <alignment horizontal="center" vertical="center" wrapText="1"/>
      <protection hidden="1"/>
    </xf>
    <xf numFmtId="176" fontId="7" fillId="12" borderId="9" xfId="0" applyNumberFormat="1" applyFont="1" applyFill="1" applyBorder="1" applyAlignment="1" applyProtection="1">
      <alignment horizontal="center" vertical="center" wrapText="1"/>
      <protection hidden="1"/>
    </xf>
    <xf numFmtId="11" fontId="7" fillId="12" borderId="9" xfId="0" applyNumberFormat="1" applyFont="1" applyFill="1" applyBorder="1" applyAlignment="1" applyProtection="1">
      <alignment horizontal="center" vertical="center" wrapText="1"/>
      <protection hidden="1"/>
    </xf>
    <xf numFmtId="11" fontId="7" fillId="5" borderId="46" xfId="0" applyNumberFormat="1" applyFont="1" applyFill="1" applyBorder="1" applyAlignment="1" applyProtection="1">
      <alignment horizontal="center" vertical="center" wrapText="1"/>
      <protection hidden="1"/>
    </xf>
    <xf numFmtId="0" fontId="7" fillId="5" borderId="61" xfId="0" applyFont="1" applyFill="1" applyBorder="1" applyAlignment="1" applyProtection="1">
      <alignment horizontal="center" vertical="center" wrapText="1"/>
      <protection hidden="1"/>
    </xf>
    <xf numFmtId="168" fontId="7" fillId="12" borderId="34" xfId="0" applyNumberFormat="1" applyFont="1" applyFill="1" applyBorder="1" applyAlignment="1" applyProtection="1">
      <alignment horizontal="center" vertical="center" wrapText="1"/>
      <protection hidden="1"/>
    </xf>
    <xf numFmtId="2" fontId="7" fillId="12" borderId="37" xfId="0" applyNumberFormat="1" applyFont="1" applyFill="1" applyBorder="1" applyAlignment="1" applyProtection="1">
      <alignment horizontal="center" vertical="center" wrapText="1"/>
      <protection hidden="1"/>
    </xf>
    <xf numFmtId="0" fontId="13" fillId="2" borderId="0" xfId="0" applyFont="1" applyFill="1" applyBorder="1" applyAlignment="1" applyProtection="1">
      <alignment horizontal="center" vertical="center" wrapText="1"/>
      <protection hidden="1"/>
    </xf>
    <xf numFmtId="0" fontId="39" fillId="2" borderId="0" xfId="0" applyFont="1" applyFill="1" applyBorder="1" applyAlignment="1" applyProtection="1">
      <alignment horizontal="center" vertical="center" wrapText="1"/>
      <protection hidden="1"/>
    </xf>
    <xf numFmtId="0" fontId="7" fillId="2" borderId="52" xfId="0" applyFont="1" applyFill="1" applyBorder="1" applyAlignment="1" applyProtection="1">
      <alignment vertical="center" wrapText="1"/>
      <protection hidden="1"/>
    </xf>
    <xf numFmtId="0" fontId="7" fillId="2" borderId="13" xfId="0" applyFont="1" applyFill="1" applyBorder="1" applyAlignment="1" applyProtection="1">
      <alignment vertical="center" wrapText="1"/>
      <protection hidden="1"/>
    </xf>
    <xf numFmtId="0" fontId="7" fillId="5" borderId="23" xfId="0" applyFont="1" applyFill="1" applyBorder="1" applyAlignment="1" applyProtection="1">
      <alignment horizontal="left" vertical="center" wrapText="1"/>
      <protection hidden="1"/>
    </xf>
    <xf numFmtId="0" fontId="7" fillId="5" borderId="23" xfId="0" applyFont="1" applyFill="1" applyBorder="1" applyAlignment="1" applyProtection="1">
      <alignment vertical="center" wrapText="1"/>
      <protection hidden="1"/>
    </xf>
    <xf numFmtId="0" fontId="39" fillId="5" borderId="30" xfId="0" applyFont="1" applyFill="1" applyBorder="1" applyAlignment="1" applyProtection="1">
      <alignment horizontal="center" vertical="center" wrapText="1"/>
      <protection hidden="1"/>
    </xf>
    <xf numFmtId="2" fontId="7" fillId="7" borderId="18" xfId="0" applyNumberFormat="1" applyFont="1" applyFill="1" applyBorder="1" applyAlignment="1" applyProtection="1">
      <alignment horizontal="center" vertical="center" wrapText="1"/>
      <protection hidden="1"/>
    </xf>
    <xf numFmtId="0" fontId="39" fillId="7" borderId="36" xfId="0" applyFont="1" applyFill="1" applyBorder="1" applyAlignment="1" applyProtection="1">
      <alignment horizontal="center" vertical="center" wrapText="1"/>
      <protection hidden="1"/>
    </xf>
    <xf numFmtId="0" fontId="7" fillId="2" borderId="23" xfId="0" applyFont="1" applyFill="1" applyBorder="1" applyAlignment="1" applyProtection="1">
      <alignment horizontal="left" vertical="center" wrapText="1"/>
      <protection hidden="1"/>
    </xf>
    <xf numFmtId="0" fontId="7" fillId="2" borderId="23" xfId="0" applyFont="1" applyFill="1" applyBorder="1" applyAlignment="1" applyProtection="1">
      <alignment vertical="center" wrapText="1"/>
      <protection hidden="1"/>
    </xf>
    <xf numFmtId="0" fontId="7" fillId="2" borderId="32" xfId="0" applyFont="1" applyFill="1" applyBorder="1" applyAlignment="1" applyProtection="1">
      <alignment vertical="center" wrapText="1"/>
      <protection hidden="1"/>
    </xf>
    <xf numFmtId="0" fontId="7" fillId="2" borderId="9" xfId="0" applyFont="1" applyFill="1" applyBorder="1" applyAlignment="1" applyProtection="1">
      <alignment vertical="center" wrapText="1"/>
      <protection hidden="1"/>
    </xf>
    <xf numFmtId="0" fontId="7" fillId="2" borderId="34" xfId="0" applyFont="1" applyFill="1" applyBorder="1" applyAlignment="1" applyProtection="1">
      <alignment vertical="center" wrapText="1"/>
      <protection hidden="1"/>
    </xf>
    <xf numFmtId="0" fontId="39" fillId="5" borderId="32" xfId="0" applyFont="1" applyFill="1" applyBorder="1" applyAlignment="1" applyProtection="1">
      <alignment horizontal="center" vertical="center" wrapText="1"/>
      <protection hidden="1"/>
    </xf>
    <xf numFmtId="0" fontId="39" fillId="7" borderId="34" xfId="0" applyFont="1" applyFill="1" applyBorder="1" applyAlignment="1" applyProtection="1">
      <alignment horizontal="center" vertical="center" wrapText="1"/>
      <protection hidden="1"/>
    </xf>
    <xf numFmtId="0" fontId="39" fillId="7" borderId="9" xfId="0" applyFont="1" applyFill="1" applyBorder="1" applyAlignment="1" applyProtection="1">
      <alignment horizontal="center" vertical="center" wrapText="1"/>
      <protection hidden="1"/>
    </xf>
    <xf numFmtId="166" fontId="7" fillId="7" borderId="34" xfId="0" applyNumberFormat="1" applyFont="1" applyFill="1" applyBorder="1" applyAlignment="1" applyProtection="1">
      <alignment horizontal="center" vertical="center" wrapText="1"/>
      <protection hidden="1"/>
    </xf>
    <xf numFmtId="0" fontId="7" fillId="5" borderId="32" xfId="0" applyFont="1" applyFill="1" applyBorder="1" applyAlignment="1" applyProtection="1">
      <alignment vertical="center" wrapText="1"/>
      <protection hidden="1"/>
    </xf>
    <xf numFmtId="0" fontId="7" fillId="7" borderId="34" xfId="0" applyFont="1" applyFill="1" applyBorder="1" applyAlignment="1" applyProtection="1">
      <alignment horizontal="center" vertical="center" wrapText="1"/>
      <protection hidden="1"/>
    </xf>
    <xf numFmtId="0" fontId="39" fillId="5" borderId="23" xfId="0" applyFont="1" applyFill="1" applyBorder="1" applyAlignment="1" applyProtection="1">
      <alignment vertical="center" wrapText="1"/>
      <protection hidden="1"/>
    </xf>
    <xf numFmtId="0" fontId="39" fillId="2" borderId="32" xfId="0" applyFont="1" applyFill="1" applyBorder="1" applyAlignment="1" applyProtection="1">
      <alignment horizontal="center" vertical="center" wrapText="1"/>
      <protection hidden="1"/>
    </xf>
    <xf numFmtId="0" fontId="39" fillId="5" borderId="23" xfId="0" applyFont="1" applyFill="1" applyBorder="1" applyAlignment="1" applyProtection="1">
      <alignment horizontal="left" vertical="center" wrapText="1"/>
      <protection hidden="1"/>
    </xf>
    <xf numFmtId="1" fontId="7" fillId="7" borderId="1" xfId="0" applyNumberFormat="1" applyFont="1" applyFill="1" applyBorder="1" applyAlignment="1" applyProtection="1">
      <alignment horizontal="center" vertical="center" wrapText="1"/>
      <protection hidden="1"/>
    </xf>
    <xf numFmtId="11" fontId="7" fillId="7" borderId="9" xfId="0" applyNumberFormat="1" applyFont="1" applyFill="1" applyBorder="1" applyAlignment="1" applyProtection="1">
      <alignment horizontal="center" vertical="center" wrapText="1"/>
      <protection hidden="1"/>
    </xf>
    <xf numFmtId="11" fontId="7" fillId="7" borderId="34" xfId="0" applyNumberFormat="1" applyFont="1" applyFill="1" applyBorder="1" applyAlignment="1" applyProtection="1">
      <alignment horizontal="center" vertical="center" wrapText="1"/>
      <protection hidden="1"/>
    </xf>
    <xf numFmtId="0" fontId="39" fillId="5" borderId="43" xfId="0" applyFont="1" applyFill="1" applyBorder="1" applyAlignment="1" applyProtection="1">
      <alignment horizontal="center" vertical="center" wrapText="1"/>
      <protection hidden="1"/>
    </xf>
    <xf numFmtId="0" fontId="39" fillId="7" borderId="44" xfId="0" applyFont="1" applyFill="1" applyBorder="1" applyAlignment="1" applyProtection="1">
      <alignment horizontal="center" vertical="center" wrapText="1"/>
      <protection hidden="1"/>
    </xf>
    <xf numFmtId="167" fontId="7" fillId="7" borderId="37" xfId="0" applyNumberFormat="1" applyFont="1" applyFill="1" applyBorder="1" applyAlignment="1" applyProtection="1">
      <alignment horizontal="center" vertical="center" wrapText="1"/>
      <protection hidden="1"/>
    </xf>
    <xf numFmtId="168" fontId="7" fillId="2" borderId="38" xfId="0" applyNumberFormat="1" applyFont="1" applyFill="1" applyBorder="1" applyAlignment="1" applyProtection="1">
      <alignment horizontal="center" vertical="center"/>
      <protection hidden="1"/>
    </xf>
    <xf numFmtId="0" fontId="39" fillId="2" borderId="0" xfId="0" applyFont="1" applyFill="1" applyBorder="1" applyAlignment="1" applyProtection="1">
      <alignment vertical="center" wrapText="1"/>
      <protection hidden="1"/>
    </xf>
    <xf numFmtId="2" fontId="6" fillId="5" borderId="17" xfId="0" applyNumberFormat="1" applyFont="1" applyFill="1" applyBorder="1" applyAlignment="1" applyProtection="1">
      <alignment horizontal="center" vertical="center" wrapText="1"/>
      <protection hidden="1"/>
    </xf>
    <xf numFmtId="0" fontId="13" fillId="2" borderId="13" xfId="0" applyFont="1" applyFill="1" applyBorder="1" applyAlignment="1" applyProtection="1">
      <alignment horizontal="center" vertical="center" wrapText="1"/>
      <protection hidden="1"/>
    </xf>
    <xf numFmtId="0" fontId="13" fillId="2" borderId="63" xfId="0" applyFont="1" applyFill="1" applyBorder="1" applyAlignment="1" applyProtection="1">
      <alignment horizontal="center" vertical="center" wrapText="1"/>
      <protection hidden="1"/>
    </xf>
    <xf numFmtId="0" fontId="6" fillId="5" borderId="14" xfId="0" applyFont="1" applyFill="1" applyBorder="1" applyAlignment="1" applyProtection="1">
      <alignment vertical="center" wrapText="1"/>
      <protection hidden="1"/>
    </xf>
    <xf numFmtId="14" fontId="25" fillId="5" borderId="9" xfId="0" applyNumberFormat="1" applyFont="1" applyFill="1" applyBorder="1" applyAlignment="1" applyProtection="1">
      <alignment horizontal="center" vertical="center" wrapText="1"/>
      <protection hidden="1"/>
    </xf>
    <xf numFmtId="168" fontId="37" fillId="7" borderId="9" xfId="0" applyNumberFormat="1" applyFont="1" applyFill="1" applyBorder="1" applyAlignment="1" applyProtection="1">
      <alignment horizontal="center" vertical="center" wrapText="1"/>
      <protection hidden="1"/>
    </xf>
    <xf numFmtId="0" fontId="37" fillId="5" borderId="9" xfId="0" applyFont="1" applyFill="1" applyBorder="1" applyAlignment="1" applyProtection="1">
      <alignment horizontal="center" vertical="center" wrapText="1"/>
      <protection hidden="1"/>
    </xf>
    <xf numFmtId="14" fontId="37" fillId="5" borderId="9" xfId="0" applyNumberFormat="1" applyFont="1" applyFill="1" applyBorder="1" applyAlignment="1" applyProtection="1">
      <alignment horizontal="center" vertical="center" wrapText="1"/>
      <protection hidden="1"/>
    </xf>
    <xf numFmtId="0" fontId="13" fillId="2" borderId="23" xfId="0" applyFont="1" applyFill="1" applyBorder="1" applyAlignment="1" applyProtection="1">
      <alignment horizontal="left" vertical="center" wrapText="1"/>
      <protection hidden="1"/>
    </xf>
    <xf numFmtId="168" fontId="39" fillId="2" borderId="23" xfId="0" applyNumberFormat="1" applyFont="1" applyFill="1" applyBorder="1" applyAlignment="1" applyProtection="1">
      <alignment horizontal="center" vertical="center" wrapText="1"/>
      <protection hidden="1"/>
    </xf>
    <xf numFmtId="0" fontId="39" fillId="2" borderId="33" xfId="0" applyFont="1" applyFill="1" applyBorder="1" applyAlignment="1" applyProtection="1">
      <alignment horizontal="center" vertical="center" wrapText="1"/>
      <protection hidden="1"/>
    </xf>
    <xf numFmtId="166" fontId="6" fillId="5" borderId="14" xfId="0" applyNumberFormat="1" applyFont="1" applyFill="1" applyBorder="1" applyAlignment="1" applyProtection="1">
      <alignment horizontal="center" vertical="center" wrapText="1"/>
      <protection hidden="1"/>
    </xf>
    <xf numFmtId="0" fontId="39" fillId="2" borderId="11" xfId="0" applyFont="1" applyFill="1" applyBorder="1" applyAlignment="1" applyProtection="1">
      <alignment horizontal="center" vertical="center" wrapText="1"/>
      <protection hidden="1"/>
    </xf>
    <xf numFmtId="0" fontId="7" fillId="5" borderId="14" xfId="0" applyFont="1" applyFill="1" applyBorder="1" applyAlignment="1" applyProtection="1">
      <alignment horizontal="center" vertical="center" wrapText="1"/>
      <protection hidden="1"/>
    </xf>
    <xf numFmtId="165" fontId="37" fillId="5" borderId="9" xfId="0" applyNumberFormat="1" applyFont="1" applyFill="1" applyBorder="1" applyAlignment="1" applyProtection="1">
      <alignment horizontal="center" vertical="center" wrapText="1"/>
      <protection hidden="1"/>
    </xf>
    <xf numFmtId="1" fontId="37" fillId="7" borderId="9" xfId="0" applyNumberFormat="1" applyFont="1" applyFill="1" applyBorder="1" applyAlignment="1" applyProtection="1">
      <alignment horizontal="center" vertical="center" wrapText="1"/>
      <protection hidden="1"/>
    </xf>
    <xf numFmtId="171" fontId="37" fillId="7" borderId="9" xfId="0" applyNumberFormat="1" applyFont="1" applyFill="1" applyBorder="1" applyAlignment="1" applyProtection="1">
      <alignment horizontal="center" vertical="center" wrapText="1"/>
      <protection hidden="1"/>
    </xf>
    <xf numFmtId="0" fontId="6" fillId="0" borderId="10" xfId="0" applyFont="1" applyFill="1" applyBorder="1" applyAlignment="1" applyProtection="1">
      <alignment horizontal="left" vertical="center" wrapText="1"/>
      <protection hidden="1"/>
    </xf>
    <xf numFmtId="0" fontId="6" fillId="0" borderId="16" xfId="0" applyFont="1" applyFill="1" applyBorder="1" applyAlignment="1" applyProtection="1">
      <alignment horizontal="left" vertical="center" wrapText="1"/>
      <protection hidden="1"/>
    </xf>
    <xf numFmtId="165" fontId="7" fillId="0" borderId="9" xfId="0" applyNumberFormat="1" applyFont="1" applyFill="1" applyBorder="1" applyAlignment="1" applyProtection="1">
      <alignment horizontal="center" vertical="center" wrapText="1"/>
      <protection hidden="1"/>
    </xf>
    <xf numFmtId="164" fontId="37" fillId="0" borderId="9" xfId="0" applyNumberFormat="1" applyFont="1" applyFill="1" applyBorder="1" applyAlignment="1" applyProtection="1">
      <alignment horizontal="center" vertical="center" wrapText="1"/>
      <protection hidden="1"/>
    </xf>
    <xf numFmtId="14" fontId="37" fillId="0" borderId="9" xfId="0" applyNumberFormat="1" applyFont="1" applyFill="1" applyBorder="1" applyAlignment="1" applyProtection="1">
      <alignment horizontal="center" vertical="center" wrapText="1"/>
      <protection hidden="1"/>
    </xf>
    <xf numFmtId="164" fontId="37" fillId="0" borderId="23" xfId="0" applyNumberFormat="1" applyFont="1" applyFill="1" applyBorder="1" applyAlignment="1" applyProtection="1">
      <alignment horizontal="center" vertical="center" wrapText="1"/>
      <protection hidden="1"/>
    </xf>
    <xf numFmtId="0" fontId="37" fillId="0" borderId="23" xfId="0" applyFont="1" applyFill="1" applyBorder="1" applyAlignment="1" applyProtection="1">
      <alignment horizontal="center" vertical="center" wrapText="1"/>
      <protection hidden="1"/>
    </xf>
    <xf numFmtId="14" fontId="37" fillId="0" borderId="23" xfId="0" applyNumberFormat="1" applyFont="1" applyFill="1" applyBorder="1" applyAlignment="1" applyProtection="1">
      <alignment horizontal="center" vertical="center" wrapText="1"/>
      <protection hidden="1"/>
    </xf>
    <xf numFmtId="1" fontId="37" fillId="0" borderId="23" xfId="0" applyNumberFormat="1" applyFont="1" applyFill="1" applyBorder="1" applyAlignment="1" applyProtection="1">
      <alignment horizontal="center" vertical="center" wrapText="1"/>
      <protection hidden="1"/>
    </xf>
    <xf numFmtId="168" fontId="37" fillId="0" borderId="23" xfId="0" applyNumberFormat="1" applyFont="1" applyFill="1" applyBorder="1" applyAlignment="1" applyProtection="1">
      <alignment horizontal="center" vertical="center" wrapText="1"/>
      <protection hidden="1"/>
    </xf>
    <xf numFmtId="0" fontId="37" fillId="0" borderId="33" xfId="0" applyFont="1" applyFill="1" applyBorder="1" applyAlignment="1" applyProtection="1">
      <alignment horizontal="center" vertical="center" wrapText="1"/>
      <protection hidden="1"/>
    </xf>
    <xf numFmtId="170" fontId="39" fillId="2" borderId="23" xfId="0" applyNumberFormat="1" applyFont="1" applyFill="1" applyBorder="1" applyAlignment="1" applyProtection="1">
      <alignment horizontal="center" vertical="center" wrapText="1"/>
      <protection hidden="1"/>
    </xf>
    <xf numFmtId="0" fontId="7" fillId="5" borderId="14" xfId="0" applyFont="1" applyFill="1" applyBorder="1" applyAlignment="1" applyProtection="1">
      <alignment vertical="center" wrapText="1"/>
      <protection hidden="1"/>
    </xf>
    <xf numFmtId="11" fontId="6" fillId="5" borderId="14" xfId="0" applyNumberFormat="1" applyFont="1" applyFill="1" applyBorder="1" applyAlignment="1" applyProtection="1">
      <alignment horizontal="center" vertical="center" wrapText="1"/>
      <protection hidden="1"/>
    </xf>
    <xf numFmtId="0" fontId="6" fillId="0" borderId="0" xfId="0" applyFont="1" applyFill="1" applyBorder="1" applyAlignment="1" applyProtection="1">
      <alignment vertical="center" wrapText="1"/>
      <protection hidden="1"/>
    </xf>
    <xf numFmtId="0" fontId="7" fillId="9" borderId="0" xfId="0" applyFont="1" applyFill="1" applyAlignment="1" applyProtection="1">
      <alignment vertical="center" wrapText="1"/>
      <protection hidden="1"/>
    </xf>
    <xf numFmtId="0" fontId="37" fillId="5" borderId="44" xfId="0" applyFont="1" applyFill="1" applyBorder="1" applyAlignment="1" applyProtection="1">
      <alignment horizontal="center" vertical="center" wrapText="1"/>
      <protection hidden="1"/>
    </xf>
    <xf numFmtId="168" fontId="37" fillId="7" borderId="44" xfId="0" applyNumberFormat="1" applyFont="1" applyFill="1" applyBorder="1" applyAlignment="1" applyProtection="1">
      <alignment horizontal="center" vertical="center" wrapText="1"/>
      <protection hidden="1"/>
    </xf>
    <xf numFmtId="182" fontId="7" fillId="0" borderId="0" xfId="0" applyNumberFormat="1" applyFont="1" applyAlignment="1" applyProtection="1">
      <alignment vertical="center" wrapText="1"/>
      <protection hidden="1"/>
    </xf>
    <xf numFmtId="0" fontId="6" fillId="5" borderId="48" xfId="0" applyFont="1" applyFill="1" applyBorder="1" applyAlignment="1" applyProtection="1">
      <alignment horizontal="left" vertical="center" wrapText="1"/>
      <protection hidden="1"/>
    </xf>
    <xf numFmtId="0" fontId="37" fillId="5" borderId="40" xfId="0" applyFont="1" applyFill="1" applyBorder="1" applyAlignment="1" applyProtection="1">
      <alignment horizontal="center" vertical="center" wrapText="1"/>
      <protection hidden="1"/>
    </xf>
    <xf numFmtId="168" fontId="37" fillId="7" borderId="40" xfId="0" applyNumberFormat="1" applyFont="1" applyFill="1" applyBorder="1" applyAlignment="1" applyProtection="1">
      <alignment horizontal="center" vertical="center" wrapText="1"/>
      <protection hidden="1"/>
    </xf>
    <xf numFmtId="0" fontId="6" fillId="5" borderId="14" xfId="0" applyFont="1" applyFill="1" applyBorder="1" applyAlignment="1" applyProtection="1">
      <alignment horizontal="left" vertical="center" wrapText="1"/>
      <protection hidden="1"/>
    </xf>
    <xf numFmtId="168" fontId="7" fillId="7" borderId="9" xfId="0" applyNumberFormat="1" applyFont="1" applyFill="1" applyBorder="1" applyAlignment="1" applyProtection="1">
      <alignment horizontal="center" vertical="center" wrapText="1"/>
      <protection hidden="1"/>
    </xf>
    <xf numFmtId="0" fontId="7" fillId="7" borderId="9" xfId="0" applyFont="1" applyFill="1" applyBorder="1" applyAlignment="1" applyProtection="1">
      <alignment horizontal="center" vertical="center" wrapText="1"/>
      <protection hidden="1"/>
    </xf>
    <xf numFmtId="0" fontId="6" fillId="2" borderId="0" xfId="0" applyFont="1" applyFill="1" applyBorder="1" applyAlignment="1" applyProtection="1">
      <alignment horizontal="right" vertical="center" wrapText="1"/>
      <protection hidden="1"/>
    </xf>
    <xf numFmtId="0" fontId="6" fillId="2" borderId="52" xfId="0" applyFont="1" applyFill="1" applyBorder="1" applyAlignment="1" applyProtection="1">
      <alignment horizontal="center" vertical="center" wrapText="1"/>
      <protection hidden="1"/>
    </xf>
    <xf numFmtId="0" fontId="6" fillId="2" borderId="13" xfId="0" applyFont="1" applyFill="1" applyBorder="1" applyAlignment="1" applyProtection="1">
      <alignment horizontal="center" vertical="center" wrapText="1"/>
      <protection hidden="1"/>
    </xf>
    <xf numFmtId="0" fontId="6" fillId="2" borderId="1" xfId="0" applyFont="1" applyFill="1" applyBorder="1" applyAlignment="1" applyProtection="1">
      <alignment horizontal="center" vertical="center" wrapText="1"/>
      <protection hidden="1"/>
    </xf>
    <xf numFmtId="0" fontId="37" fillId="5" borderId="21" xfId="0" applyFont="1" applyFill="1" applyBorder="1" applyAlignment="1" applyProtection="1">
      <alignment horizontal="center" vertical="center" wrapText="1"/>
      <protection hidden="1"/>
    </xf>
    <xf numFmtId="0" fontId="37" fillId="5" borderId="22" xfId="0" applyFont="1" applyFill="1" applyBorder="1" applyAlignment="1" applyProtection="1">
      <alignment horizontal="center" vertical="center" wrapText="1"/>
      <protection hidden="1"/>
    </xf>
    <xf numFmtId="0" fontId="37" fillId="5" borderId="20" xfId="0" applyFont="1" applyFill="1" applyBorder="1" applyAlignment="1" applyProtection="1">
      <alignment horizontal="center" vertical="center" wrapText="1"/>
      <protection hidden="1"/>
    </xf>
    <xf numFmtId="2" fontId="7" fillId="2" borderId="0" xfId="0" applyNumberFormat="1" applyFont="1" applyFill="1" applyAlignment="1" applyProtection="1">
      <alignment horizontal="center" vertical="center" wrapText="1"/>
      <protection hidden="1"/>
    </xf>
    <xf numFmtId="167" fontId="7" fillId="7" borderId="41" xfId="0" applyNumberFormat="1" applyFont="1" applyFill="1" applyBorder="1" applyAlignment="1" applyProtection="1">
      <alignment horizontal="center" vertical="center" wrapText="1"/>
      <protection hidden="1"/>
    </xf>
    <xf numFmtId="167" fontId="7" fillId="7" borderId="48" xfId="0" applyNumberFormat="1" applyFont="1" applyFill="1" applyBorder="1" applyAlignment="1" applyProtection="1">
      <alignment horizontal="center" vertical="center" wrapText="1"/>
      <protection hidden="1"/>
    </xf>
    <xf numFmtId="167" fontId="7" fillId="7" borderId="40" xfId="0" applyNumberFormat="1" applyFont="1" applyFill="1" applyBorder="1" applyAlignment="1" applyProtection="1">
      <alignment horizontal="center" vertical="center" wrapText="1"/>
      <protection hidden="1"/>
    </xf>
    <xf numFmtId="2" fontId="7" fillId="7" borderId="41" xfId="0" applyNumberFormat="1" applyFont="1" applyFill="1" applyBorder="1" applyAlignment="1" applyProtection="1">
      <alignment horizontal="center" vertical="center" wrapText="1"/>
      <protection hidden="1"/>
    </xf>
    <xf numFmtId="167" fontId="7" fillId="2" borderId="0" xfId="0" applyNumberFormat="1" applyFont="1" applyFill="1" applyAlignment="1" applyProtection="1">
      <alignment vertical="center" wrapText="1"/>
      <protection hidden="1"/>
    </xf>
    <xf numFmtId="2" fontId="7" fillId="7" borderId="23" xfId="0" applyNumberFormat="1" applyFont="1" applyFill="1" applyBorder="1" applyAlignment="1" applyProtection="1">
      <alignment horizontal="center" vertical="center" wrapText="1"/>
      <protection hidden="1"/>
    </xf>
    <xf numFmtId="2" fontId="7" fillId="7" borderId="14" xfId="0" applyNumberFormat="1" applyFont="1" applyFill="1" applyBorder="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164" fontId="7" fillId="7" borderId="34" xfId="0" applyNumberFormat="1" applyFont="1" applyFill="1" applyBorder="1" applyAlignment="1" applyProtection="1">
      <alignment horizontal="center" vertical="center" wrapText="1"/>
      <protection hidden="1"/>
    </xf>
    <xf numFmtId="165" fontId="7" fillId="7" borderId="23" xfId="0" applyNumberFormat="1" applyFont="1" applyFill="1" applyBorder="1" applyAlignment="1" applyProtection="1">
      <alignment horizontal="center" vertical="center" wrapText="1"/>
      <protection hidden="1"/>
    </xf>
    <xf numFmtId="165" fontId="7" fillId="7" borderId="14" xfId="0" applyNumberFormat="1" applyFont="1" applyFill="1" applyBorder="1" applyAlignment="1" applyProtection="1">
      <alignment horizontal="center" vertical="center" wrapText="1"/>
      <protection hidden="1"/>
    </xf>
    <xf numFmtId="165" fontId="7" fillId="7" borderId="9" xfId="0" applyNumberFormat="1" applyFont="1" applyFill="1" applyBorder="1" applyAlignment="1" applyProtection="1">
      <alignment horizontal="center" vertical="center" wrapText="1"/>
      <protection hidden="1"/>
    </xf>
    <xf numFmtId="168" fontId="7" fillId="7" borderId="34" xfId="0" applyNumberFormat="1" applyFont="1" applyFill="1" applyBorder="1" applyAlignment="1" applyProtection="1">
      <alignment horizontal="center" vertical="center" wrapText="1"/>
      <protection hidden="1"/>
    </xf>
    <xf numFmtId="2" fontId="7" fillId="7" borderId="42" xfId="0" applyNumberFormat="1" applyFont="1" applyFill="1" applyBorder="1" applyAlignment="1" applyProtection="1">
      <alignment horizontal="center" vertical="center" wrapText="1"/>
      <protection hidden="1"/>
    </xf>
    <xf numFmtId="2" fontId="7" fillId="7" borderId="60" xfId="0" applyNumberFormat="1" applyFont="1" applyFill="1" applyBorder="1" applyAlignment="1" applyProtection="1">
      <alignment horizontal="center" vertical="center"/>
      <protection hidden="1"/>
    </xf>
    <xf numFmtId="0" fontId="13" fillId="2" borderId="0" xfId="0" applyFont="1" applyFill="1" applyBorder="1" applyAlignment="1" applyProtection="1">
      <alignment vertical="center" wrapText="1"/>
      <protection hidden="1"/>
    </xf>
    <xf numFmtId="164" fontId="7" fillId="7" borderId="37" xfId="0" applyNumberFormat="1" applyFont="1" applyFill="1" applyBorder="1" applyAlignment="1" applyProtection="1">
      <alignment horizontal="center" vertical="center" wrapText="1"/>
      <protection hidden="1"/>
    </xf>
    <xf numFmtId="164" fontId="7" fillId="7" borderId="57" xfId="0" applyNumberFormat="1" applyFont="1" applyFill="1" applyBorder="1" applyAlignment="1" applyProtection="1">
      <alignment horizontal="center" vertical="center" wrapText="1"/>
      <protection hidden="1"/>
    </xf>
    <xf numFmtId="165" fontId="7" fillId="7" borderId="44" xfId="0" applyNumberFormat="1" applyFont="1" applyFill="1" applyBorder="1" applyAlignment="1" applyProtection="1">
      <alignment horizontal="center" vertical="center" wrapText="1"/>
      <protection hidden="1"/>
    </xf>
    <xf numFmtId="165" fontId="7" fillId="0" borderId="0" xfId="0" applyNumberFormat="1" applyFont="1" applyAlignment="1" applyProtection="1">
      <alignment horizontal="center" vertical="center" wrapText="1"/>
      <protection hidden="1"/>
    </xf>
    <xf numFmtId="165" fontId="7" fillId="0" borderId="0" xfId="0" applyNumberFormat="1" applyFont="1" applyAlignment="1" applyProtection="1">
      <alignment vertical="center" wrapText="1"/>
      <protection hidden="1"/>
    </xf>
    <xf numFmtId="166" fontId="7" fillId="7" borderId="1" xfId="0" applyNumberFormat="1" applyFont="1" applyFill="1" applyBorder="1" applyAlignment="1" applyProtection="1">
      <alignment horizontal="center" vertical="center" wrapText="1"/>
      <protection hidden="1"/>
    </xf>
    <xf numFmtId="166" fontId="7" fillId="0" borderId="0" xfId="0" applyNumberFormat="1" applyFont="1" applyBorder="1" applyAlignment="1" applyProtection="1">
      <alignment vertical="center" wrapText="1"/>
      <protection hidden="1"/>
    </xf>
    <xf numFmtId="164" fontId="37" fillId="7" borderId="9" xfId="0" applyNumberFormat="1" applyFont="1" applyFill="1" applyBorder="1" applyAlignment="1" applyProtection="1">
      <alignment horizontal="center" vertical="center" wrapText="1"/>
      <protection hidden="1"/>
    </xf>
    <xf numFmtId="171" fontId="7" fillId="7" borderId="34" xfId="0" applyNumberFormat="1" applyFont="1" applyFill="1" applyBorder="1" applyAlignment="1" applyProtection="1">
      <alignment horizontal="center" vertical="center" wrapText="1"/>
      <protection hidden="1"/>
    </xf>
    <xf numFmtId="166" fontId="7" fillId="12" borderId="9" xfId="0" applyNumberFormat="1" applyFont="1" applyFill="1" applyBorder="1" applyAlignment="1" applyProtection="1">
      <alignment horizontal="center" vertical="center" wrapText="1"/>
      <protection hidden="1"/>
    </xf>
    <xf numFmtId="166" fontId="7" fillId="12" borderId="44" xfId="0" applyNumberFormat="1" applyFont="1" applyFill="1" applyBorder="1" applyAlignment="1" applyProtection="1">
      <alignment horizontal="center" vertical="center" wrapText="1"/>
      <protection hidden="1"/>
    </xf>
    <xf numFmtId="0" fontId="6" fillId="16" borderId="8" xfId="0" applyFont="1" applyFill="1" applyBorder="1" applyAlignment="1" applyProtection="1">
      <alignment horizontal="center" vertical="center" wrapText="1"/>
      <protection hidden="1"/>
    </xf>
    <xf numFmtId="0" fontId="7" fillId="12" borderId="14" xfId="0" applyFont="1" applyFill="1" applyBorder="1" applyAlignment="1" applyProtection="1">
      <alignment horizontal="center" vertical="center" wrapText="1"/>
      <protection hidden="1"/>
    </xf>
    <xf numFmtId="0" fontId="6" fillId="16" borderId="21" xfId="0" applyFont="1" applyFill="1" applyBorder="1" applyAlignment="1" applyProtection="1">
      <alignment horizontal="center" vertical="center" wrapText="1"/>
      <protection hidden="1"/>
    </xf>
    <xf numFmtId="0" fontId="7" fillId="2" borderId="6" xfId="0" applyFont="1" applyFill="1" applyBorder="1" applyAlignment="1" applyProtection="1">
      <alignment horizontal="center" vertical="center" wrapText="1"/>
      <protection hidden="1"/>
    </xf>
    <xf numFmtId="14" fontId="7" fillId="19" borderId="22" xfId="0" applyNumberFormat="1" applyFont="1" applyFill="1" applyBorder="1" applyAlignment="1" applyProtection="1">
      <alignment horizontal="center" vertical="center" wrapText="1"/>
      <protection hidden="1"/>
    </xf>
    <xf numFmtId="0" fontId="6" fillId="5" borderId="19" xfId="0" applyFont="1" applyFill="1" applyBorder="1" applyAlignment="1" applyProtection="1">
      <alignment horizontal="center" vertical="center" wrapText="1"/>
      <protection hidden="1"/>
    </xf>
    <xf numFmtId="0" fontId="6" fillId="16" borderId="6" xfId="0" applyFont="1" applyFill="1" applyBorder="1" applyAlignment="1" applyProtection="1">
      <alignment horizontal="center" vertical="center" wrapText="1"/>
      <protection hidden="1"/>
    </xf>
    <xf numFmtId="0" fontId="7" fillId="5" borderId="23" xfId="0" applyFont="1" applyFill="1" applyBorder="1" applyAlignment="1" applyProtection="1">
      <alignment horizontal="left" vertical="center" wrapText="1"/>
      <protection hidden="1"/>
    </xf>
    <xf numFmtId="0" fontId="6" fillId="5" borderId="32" xfId="0" applyFont="1" applyFill="1" applyBorder="1" applyAlignment="1" applyProtection="1">
      <alignment horizontal="center" vertical="center" wrapText="1"/>
      <protection hidden="1"/>
    </xf>
    <xf numFmtId="0" fontId="13" fillId="2" borderId="0" xfId="0" applyFont="1" applyFill="1" applyBorder="1" applyAlignment="1" applyProtection="1">
      <alignment horizontal="center" vertical="center" wrapText="1"/>
      <protection hidden="1"/>
    </xf>
    <xf numFmtId="0" fontId="6" fillId="5" borderId="21" xfId="0" applyFont="1" applyFill="1" applyBorder="1" applyAlignment="1" applyProtection="1">
      <alignment horizontal="center" vertical="center" wrapText="1"/>
      <protection hidden="1"/>
    </xf>
    <xf numFmtId="0" fontId="7" fillId="2" borderId="0" xfId="0" applyFont="1" applyFill="1" applyBorder="1" applyAlignment="1" applyProtection="1">
      <alignment horizontal="center" vertical="center" wrapText="1"/>
      <protection hidden="1"/>
    </xf>
    <xf numFmtId="0" fontId="6" fillId="5" borderId="53" xfId="0" applyFont="1" applyFill="1" applyBorder="1" applyAlignment="1" applyProtection="1">
      <alignment horizontal="center" vertical="center" wrapText="1"/>
      <protection hidden="1"/>
    </xf>
    <xf numFmtId="0" fontId="37" fillId="2" borderId="23" xfId="0" applyFont="1" applyFill="1" applyBorder="1" applyAlignment="1" applyProtection="1">
      <alignment horizontal="center" vertical="center" wrapText="1"/>
      <protection hidden="1"/>
    </xf>
    <xf numFmtId="11" fontId="37" fillId="2" borderId="23" xfId="0" applyNumberFormat="1" applyFont="1" applyFill="1" applyBorder="1" applyAlignment="1" applyProtection="1">
      <alignment horizontal="center" vertical="center" wrapText="1"/>
      <protection hidden="1"/>
    </xf>
    <xf numFmtId="171" fontId="7" fillId="12" borderId="9" xfId="0" applyNumberFormat="1" applyFont="1" applyFill="1" applyBorder="1" applyAlignment="1" applyProtection="1">
      <alignment horizontal="center" vertical="center" wrapText="1"/>
      <protection hidden="1"/>
    </xf>
    <xf numFmtId="0" fontId="6" fillId="18" borderId="19" xfId="0" applyFont="1" applyFill="1" applyBorder="1" applyAlignment="1" applyProtection="1">
      <alignment horizontal="center" vertical="center" wrapText="1"/>
      <protection hidden="1"/>
    </xf>
    <xf numFmtId="0" fontId="6" fillId="5" borderId="19" xfId="0" applyFont="1" applyFill="1" applyBorder="1" applyAlignment="1" applyProtection="1">
      <alignment horizontal="center" vertical="center" wrapText="1"/>
      <protection hidden="1"/>
    </xf>
    <xf numFmtId="0" fontId="6" fillId="5" borderId="32" xfId="0" applyFont="1" applyFill="1" applyBorder="1" applyAlignment="1" applyProtection="1">
      <alignment horizontal="center" vertical="center" wrapText="1"/>
      <protection hidden="1"/>
    </xf>
    <xf numFmtId="0" fontId="6" fillId="5" borderId="21" xfId="0" applyFont="1" applyFill="1" applyBorder="1" applyAlignment="1" applyProtection="1">
      <alignment horizontal="center" vertical="center" wrapText="1"/>
      <protection hidden="1"/>
    </xf>
    <xf numFmtId="0" fontId="5" fillId="0" borderId="0" xfId="0" applyFont="1" applyBorder="1" applyProtection="1">
      <protection hidden="1"/>
    </xf>
    <xf numFmtId="0" fontId="5" fillId="0" borderId="6" xfId="0" applyFont="1" applyBorder="1" applyProtection="1">
      <protection hidden="1"/>
    </xf>
    <xf numFmtId="0" fontId="5" fillId="0" borderId="8" xfId="0" applyFont="1" applyBorder="1" applyProtection="1">
      <protection hidden="1"/>
    </xf>
    <xf numFmtId="0" fontId="6" fillId="0" borderId="0" xfId="0" applyFont="1" applyBorder="1" applyAlignment="1" applyProtection="1">
      <alignment vertical="center"/>
      <protection hidden="1"/>
    </xf>
    <xf numFmtId="0" fontId="5" fillId="0" borderId="0" xfId="0" applyFont="1" applyProtection="1">
      <protection hidden="1"/>
    </xf>
    <xf numFmtId="169" fontId="6" fillId="0" borderId="0" xfId="0" applyNumberFormat="1" applyFont="1" applyBorder="1" applyAlignment="1" applyProtection="1">
      <alignment vertical="center"/>
      <protection hidden="1"/>
    </xf>
    <xf numFmtId="169" fontId="5" fillId="0" borderId="0" xfId="0" applyNumberFormat="1" applyFont="1" applyProtection="1">
      <protection hidden="1"/>
    </xf>
    <xf numFmtId="0" fontId="5" fillId="0" borderId="0" xfId="0" applyFont="1" applyAlignment="1" applyProtection="1">
      <alignment horizontal="center" vertical="center"/>
      <protection hidden="1"/>
    </xf>
    <xf numFmtId="0" fontId="5" fillId="0" borderId="0" xfId="0" applyFont="1" applyFill="1" applyBorder="1" applyAlignment="1" applyProtection="1">
      <alignment vertical="center"/>
      <protection hidden="1"/>
    </xf>
    <xf numFmtId="0" fontId="5" fillId="0" borderId="0" xfId="0" applyFont="1" applyFill="1" applyBorder="1" applyAlignment="1" applyProtection="1">
      <protection hidden="1"/>
    </xf>
    <xf numFmtId="2" fontId="6" fillId="21" borderId="2" xfId="1" applyNumberFormat="1" applyFont="1" applyFill="1" applyBorder="1" applyAlignment="1" applyProtection="1">
      <alignment horizontal="center" vertical="center" wrapText="1"/>
      <protection hidden="1"/>
    </xf>
    <xf numFmtId="2" fontId="6" fillId="21" borderId="72" xfId="1" applyNumberFormat="1" applyFont="1" applyFill="1" applyBorder="1" applyAlignment="1" applyProtection="1">
      <alignment horizontal="center" vertical="center" wrapText="1"/>
      <protection hidden="1"/>
    </xf>
    <xf numFmtId="2" fontId="6" fillId="21" borderId="67" xfId="1" applyNumberFormat="1" applyFont="1" applyFill="1" applyBorder="1" applyAlignment="1" applyProtection="1">
      <alignment horizontal="center" vertical="center" wrapText="1"/>
      <protection hidden="1"/>
    </xf>
    <xf numFmtId="2" fontId="6" fillId="16" borderId="67" xfId="1" applyNumberFormat="1" applyFont="1" applyFill="1" applyBorder="1" applyAlignment="1" applyProtection="1">
      <alignment horizontal="center" vertical="center" wrapText="1"/>
      <protection hidden="1"/>
    </xf>
    <xf numFmtId="2" fontId="6" fillId="16" borderId="73" xfId="1" applyNumberFormat="1" applyFont="1" applyFill="1" applyBorder="1" applyAlignment="1" applyProtection="1">
      <alignment horizontal="center" vertical="center" wrapText="1"/>
      <protection hidden="1"/>
    </xf>
    <xf numFmtId="0" fontId="11" fillId="0" borderId="0" xfId="0" applyFont="1" applyProtection="1">
      <protection hidden="1"/>
    </xf>
    <xf numFmtId="0" fontId="5" fillId="2" borderId="39" xfId="0" applyFont="1" applyFill="1" applyBorder="1" applyAlignment="1" applyProtection="1">
      <alignment horizontal="center"/>
      <protection hidden="1"/>
    </xf>
    <xf numFmtId="0" fontId="5" fillId="2" borderId="40" xfId="0" applyFont="1" applyFill="1" applyBorder="1" applyAlignment="1" applyProtection="1">
      <alignment horizontal="center"/>
      <protection hidden="1"/>
    </xf>
    <xf numFmtId="0" fontId="5" fillId="0" borderId="40" xfId="0" applyFont="1" applyBorder="1" applyProtection="1">
      <protection hidden="1"/>
    </xf>
    <xf numFmtId="0" fontId="5" fillId="2" borderId="40" xfId="0" applyFont="1" applyFill="1" applyBorder="1" applyProtection="1">
      <protection hidden="1"/>
    </xf>
    <xf numFmtId="0" fontId="5" fillId="0" borderId="41" xfId="0" applyFont="1" applyBorder="1" applyProtection="1">
      <protection hidden="1"/>
    </xf>
    <xf numFmtId="0" fontId="5" fillId="0" borderId="0" xfId="0" applyFont="1" applyFill="1" applyBorder="1" applyProtection="1">
      <protection hidden="1"/>
    </xf>
    <xf numFmtId="0" fontId="5" fillId="0" borderId="0" xfId="0" applyFont="1" applyFill="1" applyProtection="1">
      <protection hidden="1"/>
    </xf>
    <xf numFmtId="0" fontId="5" fillId="7" borderId="32" xfId="0" applyFont="1" applyFill="1" applyBorder="1" applyAlignment="1" applyProtection="1">
      <alignment horizontal="center" vertical="center"/>
      <protection hidden="1"/>
    </xf>
    <xf numFmtId="0" fontId="5" fillId="7" borderId="9" xfId="0" applyFont="1" applyFill="1" applyBorder="1" applyAlignment="1" applyProtection="1">
      <alignment horizontal="center" vertical="center"/>
      <protection hidden="1"/>
    </xf>
    <xf numFmtId="0" fontId="5" fillId="7" borderId="9" xfId="0" applyFont="1" applyFill="1" applyBorder="1" applyAlignment="1" applyProtection="1">
      <alignment horizontal="center" vertical="center" wrapText="1"/>
      <protection hidden="1"/>
    </xf>
    <xf numFmtId="0" fontId="6" fillId="18" borderId="1" xfId="0" applyFont="1" applyFill="1" applyBorder="1" applyAlignment="1" applyProtection="1">
      <alignment horizontal="center" vertical="center"/>
      <protection hidden="1"/>
    </xf>
    <xf numFmtId="0" fontId="5" fillId="2" borderId="43" xfId="0" applyFont="1" applyFill="1" applyBorder="1" applyAlignment="1" applyProtection="1">
      <alignment horizontal="center"/>
      <protection hidden="1"/>
    </xf>
    <xf numFmtId="0" fontId="5" fillId="2" borderId="44" xfId="0" applyFont="1" applyFill="1" applyBorder="1" applyAlignment="1" applyProtection="1">
      <alignment horizontal="center"/>
      <protection hidden="1"/>
    </xf>
    <xf numFmtId="169" fontId="5" fillId="2" borderId="44" xfId="0" applyNumberFormat="1" applyFont="1" applyFill="1" applyBorder="1" applyAlignment="1" applyProtection="1">
      <alignment horizontal="center"/>
      <protection hidden="1"/>
    </xf>
    <xf numFmtId="0" fontId="5" fillId="0" borderId="44" xfId="0" applyFont="1" applyFill="1" applyBorder="1" applyProtection="1">
      <protection hidden="1"/>
    </xf>
    <xf numFmtId="0" fontId="5" fillId="0" borderId="37" xfId="0" applyFont="1" applyBorder="1" applyProtection="1">
      <protection hidden="1"/>
    </xf>
    <xf numFmtId="0" fontId="5" fillId="0" borderId="39" xfId="0" applyFont="1" applyFill="1" applyBorder="1" applyAlignment="1" applyProtection="1">
      <alignment horizontal="center" vertical="center"/>
      <protection hidden="1"/>
    </xf>
    <xf numFmtId="0" fontId="5" fillId="0" borderId="0" xfId="0" applyFont="1" applyFill="1" applyBorder="1" applyAlignment="1" applyProtection="1">
      <alignment horizontal="center"/>
      <protection hidden="1"/>
    </xf>
    <xf numFmtId="0" fontId="5" fillId="0" borderId="0" xfId="0" applyFont="1" applyBorder="1" applyAlignment="1" applyProtection="1">
      <alignment horizontal="center"/>
      <protection hidden="1"/>
    </xf>
    <xf numFmtId="169" fontId="5" fillId="0" borderId="0" xfId="0" applyNumberFormat="1" applyFont="1" applyFill="1" applyBorder="1" applyAlignment="1" applyProtection="1">
      <alignment horizontal="center"/>
      <protection hidden="1"/>
    </xf>
    <xf numFmtId="0" fontId="5" fillId="7" borderId="35" xfId="0" applyFont="1" applyFill="1" applyBorder="1" applyAlignment="1" applyProtection="1">
      <alignment horizontal="center" vertical="center"/>
      <protection hidden="1"/>
    </xf>
    <xf numFmtId="0" fontId="5" fillId="7" borderId="11" xfId="0" applyFont="1" applyFill="1" applyBorder="1" applyAlignment="1" applyProtection="1">
      <alignment vertical="center"/>
      <protection hidden="1"/>
    </xf>
    <xf numFmtId="0" fontId="5" fillId="7" borderId="9" xfId="0" applyFont="1" applyFill="1" applyBorder="1" applyAlignment="1" applyProtection="1">
      <alignment vertical="center"/>
      <protection hidden="1"/>
    </xf>
    <xf numFmtId="0" fontId="5" fillId="7" borderId="34" xfId="0" applyFont="1" applyFill="1" applyBorder="1" applyAlignment="1" applyProtection="1">
      <alignment vertical="center" wrapText="1"/>
      <protection hidden="1"/>
    </xf>
    <xf numFmtId="2" fontId="5" fillId="7" borderId="9" xfId="0" applyNumberFormat="1" applyFont="1" applyFill="1" applyBorder="1" applyAlignment="1" applyProtection="1">
      <alignment vertical="center"/>
      <protection hidden="1"/>
    </xf>
    <xf numFmtId="0" fontId="5" fillId="7" borderId="43" xfId="0" applyFont="1" applyFill="1" applyBorder="1" applyAlignment="1" applyProtection="1">
      <alignment horizontal="center" vertical="center"/>
      <protection hidden="1"/>
    </xf>
    <xf numFmtId="2" fontId="5" fillId="7" borderId="44" xfId="0" applyNumberFormat="1" applyFont="1" applyFill="1" applyBorder="1" applyAlignment="1" applyProtection="1">
      <alignment vertical="center"/>
      <protection hidden="1"/>
    </xf>
    <xf numFmtId="0" fontId="5" fillId="7" borderId="44" xfId="0" applyFont="1" applyFill="1" applyBorder="1" applyAlignment="1" applyProtection="1">
      <alignment vertical="center"/>
      <protection hidden="1"/>
    </xf>
    <xf numFmtId="0" fontId="5" fillId="7" borderId="55" xfId="0" applyFont="1" applyFill="1" applyBorder="1" applyAlignment="1" applyProtection="1">
      <alignment vertical="center"/>
      <protection hidden="1"/>
    </xf>
    <xf numFmtId="0" fontId="5" fillId="7" borderId="37" xfId="0" applyFont="1" applyFill="1" applyBorder="1" applyAlignment="1" applyProtection="1">
      <alignment vertical="center" wrapText="1"/>
      <protection hidden="1"/>
    </xf>
    <xf numFmtId="2" fontId="6" fillId="16" borderId="1" xfId="1" applyNumberFormat="1" applyFont="1" applyFill="1" applyBorder="1" applyAlignment="1" applyProtection="1">
      <alignment horizontal="center" vertical="center" wrapText="1"/>
      <protection hidden="1"/>
    </xf>
    <xf numFmtId="2" fontId="6" fillId="16" borderId="20" xfId="1" applyNumberFormat="1" applyFont="1" applyFill="1" applyBorder="1" applyAlignment="1" applyProtection="1">
      <alignment horizontal="center" vertical="center" wrapText="1"/>
      <protection hidden="1"/>
    </xf>
    <xf numFmtId="2" fontId="6" fillId="21" borderId="20" xfId="1" applyNumberFormat="1" applyFont="1" applyFill="1" applyBorder="1" applyAlignment="1" applyProtection="1">
      <alignment horizontal="center" vertical="center" wrapText="1"/>
      <protection hidden="1"/>
    </xf>
    <xf numFmtId="0" fontId="5" fillId="2" borderId="40" xfId="0" applyFont="1" applyFill="1" applyBorder="1" applyAlignment="1" applyProtection="1">
      <alignment horizontal="center" vertical="center" wrapText="1"/>
      <protection hidden="1"/>
    </xf>
    <xf numFmtId="0" fontId="5" fillId="2" borderId="41" xfId="0" applyFont="1" applyFill="1" applyBorder="1" applyAlignment="1" applyProtection="1">
      <alignment horizontal="center" vertical="center" wrapText="1"/>
      <protection hidden="1"/>
    </xf>
    <xf numFmtId="0" fontId="5" fillId="0" borderId="0" xfId="0" applyFont="1" applyFill="1" applyBorder="1" applyAlignment="1" applyProtection="1">
      <alignment horizontal="center" vertical="center"/>
      <protection hidden="1"/>
    </xf>
    <xf numFmtId="1" fontId="5" fillId="7" borderId="9" xfId="0" applyNumberFormat="1" applyFont="1" applyFill="1" applyBorder="1" applyAlignment="1" applyProtection="1">
      <alignment horizontal="center" vertical="center" wrapText="1"/>
      <protection hidden="1"/>
    </xf>
    <xf numFmtId="171" fontId="5" fillId="7" borderId="9" xfId="0" applyNumberFormat="1" applyFont="1" applyFill="1" applyBorder="1" applyAlignment="1" applyProtection="1">
      <alignment horizontal="center" vertical="center" wrapText="1"/>
      <protection hidden="1"/>
    </xf>
    <xf numFmtId="2" fontId="5" fillId="7" borderId="12" xfId="0" applyNumberFormat="1" applyFont="1" applyFill="1" applyBorder="1" applyAlignment="1" applyProtection="1">
      <alignment horizontal="center" vertical="center" wrapText="1"/>
      <protection hidden="1"/>
    </xf>
    <xf numFmtId="166" fontId="5" fillId="7" borderId="9" xfId="0" applyNumberFormat="1" applyFont="1" applyFill="1" applyBorder="1" applyAlignment="1" applyProtection="1">
      <alignment horizontal="center" vertical="center" wrapText="1"/>
      <protection hidden="1"/>
    </xf>
    <xf numFmtId="0" fontId="5" fillId="7" borderId="34" xfId="0" applyFont="1" applyFill="1" applyBorder="1" applyAlignment="1" applyProtection="1">
      <alignment horizontal="center" vertical="center"/>
      <protection hidden="1"/>
    </xf>
    <xf numFmtId="0" fontId="5" fillId="2" borderId="55" xfId="0" applyFont="1" applyFill="1" applyBorder="1" applyAlignment="1" applyProtection="1">
      <alignment horizontal="center"/>
      <protection hidden="1"/>
    </xf>
    <xf numFmtId="0" fontId="5" fillId="2" borderId="57" xfId="0" applyFont="1" applyFill="1" applyBorder="1" applyAlignment="1" applyProtection="1">
      <alignment horizontal="center"/>
      <protection hidden="1"/>
    </xf>
    <xf numFmtId="0" fontId="5" fillId="2" borderId="37" xfId="0" applyFont="1" applyFill="1" applyBorder="1" applyAlignment="1" applyProtection="1">
      <alignment horizontal="center"/>
      <protection hidden="1"/>
    </xf>
    <xf numFmtId="0" fontId="5" fillId="0" borderId="0" xfId="0" applyFont="1" applyBorder="1" applyAlignment="1" applyProtection="1">
      <alignment horizontal="center" vertical="center"/>
      <protection hidden="1"/>
    </xf>
    <xf numFmtId="169" fontId="5" fillId="0" borderId="0" xfId="0" applyNumberFormat="1" applyFont="1" applyBorder="1" applyAlignment="1" applyProtection="1">
      <alignment horizontal="center"/>
      <protection hidden="1"/>
    </xf>
    <xf numFmtId="0" fontId="5" fillId="0" borderId="2" xfId="0" applyFont="1" applyBorder="1" applyProtection="1">
      <protection hidden="1"/>
    </xf>
    <xf numFmtId="0" fontId="5" fillId="0" borderId="3" xfId="0" applyFont="1" applyFill="1" applyBorder="1" applyAlignment="1" applyProtection="1">
      <alignment horizontal="center" vertical="center"/>
      <protection hidden="1"/>
    </xf>
    <xf numFmtId="169" fontId="5" fillId="0" borderId="0" xfId="0" applyNumberFormat="1" applyFont="1" applyFill="1" applyBorder="1" applyProtection="1">
      <protection hidden="1"/>
    </xf>
    <xf numFmtId="0" fontId="5" fillId="0" borderId="10" xfId="0" applyFont="1" applyBorder="1" applyProtection="1">
      <protection hidden="1"/>
    </xf>
    <xf numFmtId="0" fontId="6" fillId="0" borderId="0" xfId="0" applyFont="1" applyFill="1" applyBorder="1" applyAlignment="1" applyProtection="1">
      <alignment vertical="center"/>
      <protection hidden="1"/>
    </xf>
    <xf numFmtId="169" fontId="5" fillId="0" borderId="0" xfId="0" applyNumberFormat="1" applyFont="1" applyBorder="1" applyProtection="1">
      <protection hidden="1"/>
    </xf>
    <xf numFmtId="0" fontId="5" fillId="0" borderId="7" xfId="0" applyFont="1" applyBorder="1" applyProtection="1">
      <protection hidden="1"/>
    </xf>
    <xf numFmtId="169" fontId="5" fillId="0" borderId="7" xfId="0" applyNumberFormat="1" applyFont="1" applyBorder="1" applyProtection="1">
      <protection hidden="1"/>
    </xf>
    <xf numFmtId="0" fontId="6" fillId="7" borderId="39" xfId="0" applyFont="1" applyFill="1" applyBorder="1" applyAlignment="1" applyProtection="1">
      <alignment horizontal="center" vertical="center" wrapText="1"/>
      <protection hidden="1"/>
    </xf>
    <xf numFmtId="0" fontId="5" fillId="7" borderId="40" xfId="0" applyFont="1" applyFill="1" applyBorder="1" applyAlignment="1" applyProtection="1">
      <alignment horizontal="center" vertical="center" wrapText="1"/>
      <protection hidden="1"/>
    </xf>
    <xf numFmtId="2" fontId="5" fillId="7" borderId="40" xfId="0" applyNumberFormat="1" applyFont="1" applyFill="1" applyBorder="1" applyAlignment="1" applyProtection="1">
      <alignment horizontal="center" vertical="center" wrapText="1"/>
      <protection hidden="1"/>
    </xf>
    <xf numFmtId="0" fontId="5" fillId="7" borderId="40" xfId="0" applyFont="1" applyFill="1" applyBorder="1" applyAlignment="1" applyProtection="1">
      <alignment horizontal="center" vertical="center"/>
      <protection hidden="1"/>
    </xf>
    <xf numFmtId="165" fontId="5" fillId="7" borderId="40" xfId="0" applyNumberFormat="1" applyFont="1" applyFill="1" applyBorder="1" applyAlignment="1" applyProtection="1">
      <alignment horizontal="center" vertical="center" wrapText="1"/>
      <protection hidden="1"/>
    </xf>
    <xf numFmtId="171" fontId="5" fillId="7" borderId="41" xfId="0" applyNumberFormat="1" applyFont="1" applyFill="1" applyBorder="1" applyAlignment="1" applyProtection="1">
      <alignment horizontal="center" vertical="center" wrapText="1"/>
      <protection hidden="1"/>
    </xf>
    <xf numFmtId="0" fontId="6" fillId="7" borderId="43" xfId="0" applyFont="1" applyFill="1" applyBorder="1" applyAlignment="1" applyProtection="1">
      <alignment horizontal="center" vertical="center" wrapText="1"/>
      <protection hidden="1"/>
    </xf>
    <xf numFmtId="0" fontId="5" fillId="7" borderId="44" xfId="0" applyFont="1" applyFill="1" applyBorder="1" applyAlignment="1" applyProtection="1">
      <alignment horizontal="center" vertical="center" wrapText="1"/>
      <protection hidden="1"/>
    </xf>
    <xf numFmtId="14" fontId="5" fillId="7" borderId="44" xfId="0" applyNumberFormat="1" applyFont="1" applyFill="1" applyBorder="1" applyAlignment="1" applyProtection="1">
      <alignment horizontal="center" vertical="center" wrapText="1"/>
      <protection hidden="1"/>
    </xf>
    <xf numFmtId="167" fontId="5" fillId="7" borderId="44" xfId="0" applyNumberFormat="1" applyFont="1" applyFill="1" applyBorder="1" applyAlignment="1" applyProtection="1">
      <alignment horizontal="center" vertical="center" wrapText="1"/>
      <protection hidden="1"/>
    </xf>
    <xf numFmtId="2" fontId="5" fillId="7" borderId="44" xfId="0" applyNumberFormat="1" applyFont="1" applyFill="1" applyBorder="1" applyAlignment="1" applyProtection="1">
      <alignment horizontal="center" vertical="center" wrapText="1"/>
      <protection hidden="1"/>
    </xf>
    <xf numFmtId="0" fontId="5" fillId="7" borderId="44" xfId="0" applyFont="1" applyFill="1" applyBorder="1" applyAlignment="1" applyProtection="1">
      <alignment horizontal="center" vertical="center"/>
      <protection hidden="1"/>
    </xf>
    <xf numFmtId="165" fontId="5" fillId="7" borderId="44" xfId="0" applyNumberFormat="1" applyFont="1" applyFill="1" applyBorder="1" applyAlignment="1" applyProtection="1">
      <alignment horizontal="center" vertical="center" wrapText="1"/>
      <protection hidden="1"/>
    </xf>
    <xf numFmtId="171" fontId="5" fillId="7" borderId="37" xfId="0" applyNumberFormat="1" applyFont="1" applyFill="1" applyBorder="1" applyAlignment="1" applyProtection="1">
      <alignment horizontal="center" vertical="center" wrapText="1"/>
      <protection hidden="1"/>
    </xf>
    <xf numFmtId="169" fontId="6" fillId="5" borderId="22" xfId="0" applyNumberFormat="1" applyFont="1" applyFill="1" applyBorder="1" applyAlignment="1" applyProtection="1">
      <alignment horizontal="center" vertical="center" wrapText="1"/>
      <protection hidden="1"/>
    </xf>
    <xf numFmtId="0" fontId="6" fillId="5" borderId="20" xfId="0" applyFont="1" applyFill="1" applyBorder="1" applyAlignment="1" applyProtection="1">
      <alignment horizontal="center" vertical="center"/>
      <protection hidden="1"/>
    </xf>
    <xf numFmtId="0" fontId="6" fillId="0" borderId="0" xfId="0" applyFont="1" applyFill="1" applyBorder="1" applyAlignment="1" applyProtection="1">
      <alignment horizontal="center" vertical="center" wrapText="1"/>
      <protection hidden="1"/>
    </xf>
    <xf numFmtId="0" fontId="5" fillId="0" borderId="7" xfId="0" applyFont="1" applyBorder="1" applyAlignment="1" applyProtection="1">
      <alignment horizontal="center" vertical="center"/>
      <protection hidden="1"/>
    </xf>
    <xf numFmtId="0" fontId="5" fillId="0" borderId="7" xfId="0" applyFont="1" applyFill="1" applyBorder="1" applyProtection="1">
      <protection hidden="1"/>
    </xf>
    <xf numFmtId="0" fontId="5" fillId="0" borderId="8" xfId="0" applyFont="1" applyBorder="1" applyAlignment="1" applyProtection="1">
      <alignment horizontal="center" vertical="center"/>
      <protection hidden="1"/>
    </xf>
    <xf numFmtId="14" fontId="5" fillId="0" borderId="0" xfId="0" applyNumberFormat="1" applyFont="1" applyFill="1" applyBorder="1" applyAlignment="1" applyProtection="1">
      <alignment horizontal="center" vertical="center" wrapText="1"/>
      <protection hidden="1"/>
    </xf>
    <xf numFmtId="0" fontId="6" fillId="7" borderId="39" xfId="0" applyFont="1" applyFill="1" applyBorder="1" applyAlignment="1" applyProtection="1">
      <alignment horizontal="center" vertical="center"/>
      <protection hidden="1"/>
    </xf>
    <xf numFmtId="167" fontId="5" fillId="7" borderId="40" xfId="0" applyNumberFormat="1" applyFont="1" applyFill="1" applyBorder="1" applyAlignment="1" applyProtection="1">
      <alignment horizontal="center" vertical="center"/>
      <protection hidden="1"/>
    </xf>
    <xf numFmtId="0" fontId="5" fillId="31" borderId="40" xfId="0" applyFont="1" applyFill="1" applyBorder="1" applyAlignment="1" applyProtection="1">
      <alignment horizontal="center" vertical="center"/>
      <protection hidden="1"/>
    </xf>
    <xf numFmtId="169" fontId="5" fillId="0" borderId="0" xfId="0" applyNumberFormat="1"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6" fillId="7" borderId="43" xfId="0" applyFont="1" applyFill="1" applyBorder="1" applyAlignment="1" applyProtection="1">
      <alignment horizontal="center" vertical="center"/>
      <protection hidden="1"/>
    </xf>
    <xf numFmtId="167" fontId="5" fillId="7" borderId="44" xfId="0" applyNumberFormat="1" applyFont="1" applyFill="1" applyBorder="1" applyAlignment="1" applyProtection="1">
      <alignment horizontal="center" vertical="center"/>
      <protection hidden="1"/>
    </xf>
    <xf numFmtId="0" fontId="5" fillId="0" borderId="3" xfId="0" applyFont="1" applyBorder="1" applyAlignment="1" applyProtection="1">
      <alignment vertical="center" textRotation="90" wrapText="1"/>
      <protection hidden="1"/>
    </xf>
    <xf numFmtId="2" fontId="5" fillId="0" borderId="0" xfId="0" applyNumberFormat="1" applyFont="1" applyBorder="1" applyAlignment="1" applyProtection="1">
      <alignment horizontal="center" vertical="center"/>
      <protection hidden="1"/>
    </xf>
    <xf numFmtId="0" fontId="6" fillId="0" borderId="0" xfId="0" applyFont="1" applyFill="1" applyBorder="1" applyAlignment="1" applyProtection="1">
      <alignment horizontal="center" vertical="center"/>
      <protection hidden="1"/>
    </xf>
    <xf numFmtId="0" fontId="6" fillId="5" borderId="45" xfId="0" applyFont="1" applyFill="1" applyBorder="1" applyAlignment="1" applyProtection="1">
      <alignment horizontal="center" vertical="center" wrapText="1"/>
      <protection hidden="1"/>
    </xf>
    <xf numFmtId="169" fontId="6" fillId="5" borderId="53" xfId="0" applyNumberFormat="1" applyFont="1" applyFill="1" applyBorder="1" applyAlignment="1" applyProtection="1">
      <alignment horizontal="center" vertical="center" wrapText="1"/>
      <protection hidden="1"/>
    </xf>
    <xf numFmtId="0" fontId="5" fillId="5" borderId="78" xfId="0" applyFont="1" applyFill="1" applyBorder="1" applyAlignment="1" applyProtection="1">
      <alignment horizontal="center" vertical="center"/>
      <protection hidden="1"/>
    </xf>
    <xf numFmtId="169" fontId="5" fillId="0" borderId="0" xfId="0" applyNumberFormat="1" applyFont="1" applyBorder="1" applyAlignment="1" applyProtection="1">
      <alignment horizontal="center" vertical="center"/>
      <protection hidden="1"/>
    </xf>
    <xf numFmtId="0" fontId="5" fillId="7" borderId="48" xfId="0" applyFont="1" applyFill="1" applyBorder="1" applyAlignment="1" applyProtection="1">
      <alignment horizontal="center" vertical="center" wrapText="1"/>
      <protection hidden="1"/>
    </xf>
    <xf numFmtId="166" fontId="5" fillId="7" borderId="40" xfId="0" applyNumberFormat="1" applyFont="1" applyFill="1" applyBorder="1" applyAlignment="1" applyProtection="1">
      <alignment horizontal="center" vertical="center"/>
      <protection hidden="1"/>
    </xf>
    <xf numFmtId="165" fontId="5" fillId="31" borderId="41" xfId="0" applyNumberFormat="1" applyFont="1" applyFill="1" applyBorder="1" applyAlignment="1" applyProtection="1">
      <alignment horizontal="center" vertical="center"/>
      <protection hidden="1"/>
    </xf>
    <xf numFmtId="166" fontId="5" fillId="7" borderId="9" xfId="0" applyNumberFormat="1" applyFont="1" applyFill="1" applyBorder="1" applyAlignment="1" applyProtection="1">
      <alignment horizontal="center" vertical="center"/>
      <protection hidden="1"/>
    </xf>
    <xf numFmtId="167" fontId="5" fillId="7" borderId="9" xfId="0" applyNumberFormat="1" applyFont="1" applyFill="1" applyBorder="1" applyAlignment="1" applyProtection="1">
      <alignment horizontal="center" vertical="center"/>
      <protection hidden="1"/>
    </xf>
    <xf numFmtId="0" fontId="5" fillId="31" borderId="9" xfId="0" applyFont="1" applyFill="1" applyBorder="1" applyAlignment="1" applyProtection="1">
      <alignment horizontal="center" vertical="center"/>
      <protection hidden="1"/>
    </xf>
    <xf numFmtId="165" fontId="5" fillId="31" borderId="34" xfId="0" applyNumberFormat="1" applyFont="1" applyFill="1" applyBorder="1" applyAlignment="1" applyProtection="1">
      <alignment horizontal="center" vertical="center"/>
      <protection hidden="1"/>
    </xf>
    <xf numFmtId="0" fontId="5" fillId="31" borderId="44" xfId="0" applyFont="1" applyFill="1" applyBorder="1" applyAlignment="1" applyProtection="1">
      <alignment horizontal="center" vertical="center"/>
      <protection hidden="1"/>
    </xf>
    <xf numFmtId="165" fontId="5" fillId="31" borderId="37" xfId="0" applyNumberFormat="1" applyFont="1" applyFill="1" applyBorder="1" applyAlignment="1" applyProtection="1">
      <alignment horizontal="center" vertical="center"/>
      <protection hidden="1"/>
    </xf>
    <xf numFmtId="0" fontId="5" fillId="0" borderId="0" xfId="0" applyFont="1" applyFill="1" applyBorder="1" applyAlignment="1" applyProtection="1">
      <alignment vertical="center" wrapText="1"/>
      <protection hidden="1"/>
    </xf>
    <xf numFmtId="169" fontId="5" fillId="0" borderId="7" xfId="0" applyNumberFormat="1" applyFont="1" applyBorder="1" applyAlignment="1" applyProtection="1">
      <alignment horizontal="center" vertical="center"/>
      <protection hidden="1"/>
    </xf>
    <xf numFmtId="166" fontId="5" fillId="31" borderId="40" xfId="0" applyNumberFormat="1" applyFont="1" applyFill="1" applyBorder="1" applyAlignment="1" applyProtection="1">
      <alignment horizontal="center" vertical="center"/>
      <protection hidden="1"/>
    </xf>
    <xf numFmtId="166" fontId="5" fillId="31" borderId="9" xfId="0" applyNumberFormat="1" applyFont="1" applyFill="1" applyBorder="1" applyAlignment="1" applyProtection="1">
      <alignment horizontal="center" vertical="center"/>
      <protection hidden="1"/>
    </xf>
    <xf numFmtId="166" fontId="5" fillId="0" borderId="0" xfId="0" applyNumberFormat="1" applyFont="1" applyProtection="1">
      <protection hidden="1"/>
    </xf>
    <xf numFmtId="0" fontId="6" fillId="5" borderId="15" xfId="0" applyFont="1" applyFill="1" applyBorder="1" applyAlignment="1" applyProtection="1">
      <alignment horizontal="center" vertical="center" wrapText="1"/>
      <protection hidden="1"/>
    </xf>
    <xf numFmtId="0" fontId="6" fillId="5" borderId="51" xfId="0" applyFont="1" applyFill="1" applyBorder="1" applyAlignment="1" applyProtection="1">
      <alignment horizontal="center" vertical="center" wrapText="1"/>
      <protection hidden="1"/>
    </xf>
    <xf numFmtId="169" fontId="6" fillId="5" borderId="65" xfId="0" applyNumberFormat="1" applyFont="1" applyFill="1" applyBorder="1" applyAlignment="1" applyProtection="1">
      <alignment horizontal="center" vertical="center" wrapText="1"/>
      <protection hidden="1"/>
    </xf>
    <xf numFmtId="0" fontId="6" fillId="5" borderId="65" xfId="0" applyFont="1" applyFill="1" applyBorder="1" applyAlignment="1" applyProtection="1">
      <alignment horizontal="center" vertical="center" wrapText="1"/>
      <protection hidden="1"/>
    </xf>
    <xf numFmtId="0" fontId="5" fillId="2" borderId="6" xfId="0" applyFont="1" applyFill="1" applyBorder="1" applyProtection="1">
      <protection hidden="1"/>
    </xf>
    <xf numFmtId="0" fontId="5" fillId="2" borderId="7" xfId="0" applyFont="1" applyFill="1" applyBorder="1" applyProtection="1">
      <protection hidden="1"/>
    </xf>
    <xf numFmtId="0" fontId="5" fillId="2" borderId="7" xfId="0" applyFont="1" applyFill="1" applyBorder="1" applyAlignment="1" applyProtection="1">
      <alignment horizontal="center" vertical="center"/>
      <protection hidden="1"/>
    </xf>
    <xf numFmtId="169" fontId="5" fillId="2" borderId="7" xfId="0" applyNumberFormat="1" applyFont="1" applyFill="1" applyBorder="1" applyAlignment="1" applyProtection="1">
      <alignment horizontal="center" vertical="center"/>
      <protection hidden="1"/>
    </xf>
    <xf numFmtId="0" fontId="5" fillId="2" borderId="8" xfId="0" applyFont="1" applyFill="1" applyBorder="1" applyProtection="1">
      <protection hidden="1"/>
    </xf>
    <xf numFmtId="0" fontId="5" fillId="0" borderId="10" xfId="0" applyFont="1" applyBorder="1" applyAlignment="1" applyProtection="1">
      <alignment horizontal="center"/>
      <protection hidden="1"/>
    </xf>
    <xf numFmtId="0" fontId="5" fillId="0" borderId="49" xfId="0" applyFont="1" applyBorder="1" applyAlignment="1" applyProtection="1">
      <alignment horizontal="center"/>
      <protection hidden="1"/>
    </xf>
    <xf numFmtId="0" fontId="5" fillId="2" borderId="3" xfId="0" applyFont="1" applyFill="1" applyBorder="1" applyAlignment="1" applyProtection="1">
      <alignment vertical="center" textRotation="90"/>
      <protection hidden="1"/>
    </xf>
    <xf numFmtId="0" fontId="5" fillId="2" borderId="3" xfId="0" applyFont="1" applyFill="1" applyBorder="1" applyAlignment="1" applyProtection="1">
      <alignment horizontal="center" vertical="center"/>
      <protection hidden="1"/>
    </xf>
    <xf numFmtId="0" fontId="5" fillId="2" borderId="3" xfId="0" applyFont="1" applyFill="1" applyBorder="1" applyProtection="1">
      <protection hidden="1"/>
    </xf>
    <xf numFmtId="0" fontId="5" fillId="0" borderId="3" xfId="0" applyFont="1" applyFill="1" applyBorder="1" applyAlignment="1" applyProtection="1">
      <alignment horizontal="center" vertical="center" wrapText="1"/>
      <protection hidden="1"/>
    </xf>
    <xf numFmtId="169" fontId="5" fillId="0" borderId="3" xfId="0" applyNumberFormat="1" applyFont="1" applyFill="1" applyBorder="1" applyAlignment="1" applyProtection="1">
      <alignment horizontal="center" vertical="center"/>
      <protection hidden="1"/>
    </xf>
    <xf numFmtId="0" fontId="5" fillId="0" borderId="4" xfId="0" applyFont="1" applyFill="1" applyBorder="1" applyProtection="1">
      <protection hidden="1"/>
    </xf>
    <xf numFmtId="0" fontId="5" fillId="0" borderId="47" xfId="0" applyFont="1" applyBorder="1" applyProtection="1">
      <protection hidden="1"/>
    </xf>
    <xf numFmtId="0" fontId="5" fillId="2" borderId="5" xfId="0" applyFont="1" applyFill="1" applyBorder="1" applyAlignment="1" applyProtection="1">
      <alignment vertical="center" textRotation="90"/>
      <protection hidden="1"/>
    </xf>
    <xf numFmtId="0" fontId="5" fillId="2" borderId="5" xfId="0" applyFont="1" applyFill="1" applyBorder="1" applyAlignment="1" applyProtection="1">
      <alignment horizontal="center" vertical="center"/>
      <protection hidden="1"/>
    </xf>
    <xf numFmtId="0" fontId="5" fillId="2" borderId="5" xfId="0" applyFont="1" applyFill="1" applyBorder="1" applyProtection="1">
      <protection hidden="1"/>
    </xf>
    <xf numFmtId="0" fontId="5" fillId="0" borderId="5" xfId="0" applyFont="1" applyFill="1" applyBorder="1" applyAlignment="1" applyProtection="1">
      <alignment horizontal="center" vertical="center" wrapText="1"/>
      <protection hidden="1"/>
    </xf>
    <xf numFmtId="0" fontId="5" fillId="0" borderId="5" xfId="0" applyFont="1" applyFill="1" applyBorder="1" applyAlignment="1" applyProtection="1">
      <alignment horizontal="center" vertical="center"/>
      <protection hidden="1"/>
    </xf>
    <xf numFmtId="169" fontId="5" fillId="0" borderId="0" xfId="0" applyNumberFormat="1" applyFont="1" applyFill="1" applyBorder="1" applyAlignment="1" applyProtection="1">
      <alignment horizontal="center" vertical="center"/>
      <protection hidden="1"/>
    </xf>
    <xf numFmtId="0" fontId="5" fillId="0" borderId="49" xfId="0" applyFont="1" applyFill="1" applyBorder="1" applyProtection="1">
      <protection hidden="1"/>
    </xf>
    <xf numFmtId="0" fontId="5" fillId="0" borderId="10" xfId="0" applyFont="1" applyFill="1" applyBorder="1" applyAlignment="1" applyProtection="1">
      <alignment horizontal="center"/>
      <protection hidden="1"/>
    </xf>
    <xf numFmtId="0" fontId="5" fillId="0" borderId="49" xfId="0" applyFont="1" applyFill="1" applyBorder="1" applyAlignment="1" applyProtection="1">
      <alignment horizontal="center"/>
      <protection hidden="1"/>
    </xf>
    <xf numFmtId="0" fontId="5" fillId="2" borderId="0" xfId="0" applyFont="1" applyFill="1" applyBorder="1" applyAlignment="1" applyProtection="1">
      <alignment vertical="center" textRotation="90"/>
      <protection hidden="1"/>
    </xf>
    <xf numFmtId="0" fontId="5" fillId="2" borderId="0" xfId="0" applyFont="1" applyFill="1" applyBorder="1" applyProtection="1">
      <protection hidden="1"/>
    </xf>
    <xf numFmtId="0" fontId="5" fillId="2" borderId="0" xfId="0" applyFont="1" applyFill="1" applyBorder="1" applyAlignment="1" applyProtection="1">
      <alignment horizontal="center" vertical="center"/>
      <protection hidden="1"/>
    </xf>
    <xf numFmtId="0" fontId="5" fillId="0" borderId="0" xfId="0" applyFont="1" applyFill="1" applyBorder="1" applyAlignment="1" applyProtection="1">
      <alignment horizontal="center" vertical="center" wrapText="1"/>
      <protection hidden="1"/>
    </xf>
    <xf numFmtId="0" fontId="5" fillId="0" borderId="47" xfId="0" applyFont="1" applyBorder="1" applyAlignment="1" applyProtection="1">
      <alignment horizontal="center"/>
      <protection hidden="1"/>
    </xf>
    <xf numFmtId="0" fontId="5" fillId="0" borderId="5" xfId="0" applyFont="1" applyBorder="1" applyProtection="1">
      <protection hidden="1"/>
    </xf>
    <xf numFmtId="0" fontId="5" fillId="0" borderId="5" xfId="0" applyFont="1" applyFill="1" applyBorder="1" applyAlignment="1" applyProtection="1">
      <alignment horizontal="center"/>
      <protection hidden="1"/>
    </xf>
    <xf numFmtId="0" fontId="5" fillId="0" borderId="5" xfId="0" applyFont="1" applyBorder="1" applyAlignment="1" applyProtection="1">
      <alignment horizontal="center"/>
      <protection hidden="1"/>
    </xf>
    <xf numFmtId="0" fontId="5" fillId="0" borderId="38" xfId="0" applyFont="1" applyBorder="1" applyAlignment="1" applyProtection="1">
      <alignment horizontal="center"/>
      <protection hidden="1"/>
    </xf>
    <xf numFmtId="0" fontId="5" fillId="0" borderId="2" xfId="0" applyFont="1" applyBorder="1" applyAlignment="1" applyProtection="1">
      <alignment horizontal="center" vertical="center"/>
      <protection hidden="1"/>
    </xf>
    <xf numFmtId="0" fontId="6" fillId="5" borderId="72" xfId="0" applyFont="1" applyFill="1" applyBorder="1" applyAlignment="1" applyProtection="1">
      <alignment horizontal="center" vertical="center" wrapText="1"/>
      <protection hidden="1"/>
    </xf>
    <xf numFmtId="0" fontId="6" fillId="5" borderId="67" xfId="0" applyFont="1" applyFill="1" applyBorder="1" applyAlignment="1" applyProtection="1">
      <alignment horizontal="center" vertical="center" wrapText="1"/>
      <protection hidden="1"/>
    </xf>
    <xf numFmtId="169" fontId="6" fillId="5" borderId="67" xfId="0" applyNumberFormat="1" applyFont="1" applyFill="1" applyBorder="1" applyAlignment="1" applyProtection="1">
      <alignment horizontal="center" vertical="center" wrapText="1"/>
      <protection hidden="1"/>
    </xf>
    <xf numFmtId="0" fontId="6" fillId="5" borderId="67" xfId="0" applyFont="1" applyFill="1" applyBorder="1" applyAlignment="1" applyProtection="1">
      <alignment horizontal="center" vertical="center"/>
      <protection hidden="1"/>
    </xf>
    <xf numFmtId="0" fontId="6" fillId="5" borderId="73" xfId="0" applyFont="1" applyFill="1" applyBorder="1" applyAlignment="1" applyProtection="1">
      <alignment horizontal="center" vertical="center" wrapText="1"/>
      <protection hidden="1"/>
    </xf>
    <xf numFmtId="0" fontId="5" fillId="0" borderId="6" xfId="0" applyFont="1" applyBorder="1" applyAlignment="1" applyProtection="1">
      <alignment horizontal="center" vertical="center"/>
      <protection hidden="1"/>
    </xf>
    <xf numFmtId="0" fontId="5" fillId="0" borderId="7" xfId="0" applyFont="1" applyBorder="1" applyAlignment="1" applyProtection="1">
      <alignment horizontal="center"/>
      <protection hidden="1"/>
    </xf>
    <xf numFmtId="0" fontId="5" fillId="0" borderId="51" xfId="0" applyFont="1" applyBorder="1" applyAlignment="1" applyProtection="1">
      <alignment horizontal="center"/>
      <protection hidden="1"/>
    </xf>
    <xf numFmtId="0" fontId="5" fillId="0" borderId="65" xfId="0" applyFont="1" applyBorder="1" applyAlignment="1" applyProtection="1">
      <alignment horizontal="center"/>
      <protection hidden="1"/>
    </xf>
    <xf numFmtId="0" fontId="5" fillId="7" borderId="39" xfId="0" applyFont="1" applyFill="1" applyBorder="1" applyAlignment="1" applyProtection="1">
      <alignment horizontal="center" vertical="center" wrapText="1"/>
      <protection hidden="1"/>
    </xf>
    <xf numFmtId="166" fontId="5" fillId="31" borderId="40" xfId="0" applyNumberFormat="1" applyFont="1" applyFill="1" applyBorder="1" applyAlignment="1" applyProtection="1">
      <alignment horizontal="center" vertical="center" wrapText="1"/>
      <protection hidden="1"/>
    </xf>
    <xf numFmtId="0" fontId="5" fillId="31" borderId="40" xfId="0" applyFont="1" applyFill="1" applyBorder="1" applyAlignment="1" applyProtection="1">
      <alignment horizontal="center" vertical="center" wrapText="1"/>
      <protection hidden="1"/>
    </xf>
    <xf numFmtId="164" fontId="5" fillId="31" borderId="40" xfId="0" applyNumberFormat="1" applyFont="1" applyFill="1" applyBorder="1" applyAlignment="1" applyProtection="1">
      <alignment horizontal="center" vertical="center" wrapText="1"/>
      <protection hidden="1"/>
    </xf>
    <xf numFmtId="164" fontId="5" fillId="31" borderId="41" xfId="0" applyNumberFormat="1" applyFont="1" applyFill="1" applyBorder="1" applyAlignment="1" applyProtection="1">
      <alignment horizontal="center" vertical="center" wrapText="1"/>
      <protection hidden="1"/>
    </xf>
    <xf numFmtId="0" fontId="5" fillId="7" borderId="32" xfId="0" applyFont="1" applyFill="1" applyBorder="1" applyAlignment="1" applyProtection="1">
      <alignment horizontal="center" vertical="center" wrapText="1"/>
      <protection hidden="1"/>
    </xf>
    <xf numFmtId="167" fontId="5" fillId="7" borderId="9" xfId="0" applyNumberFormat="1" applyFont="1" applyFill="1" applyBorder="1" applyAlignment="1" applyProtection="1">
      <alignment horizontal="center" vertical="center" wrapText="1"/>
      <protection hidden="1"/>
    </xf>
    <xf numFmtId="169" fontId="5" fillId="7" borderId="9" xfId="0" applyNumberFormat="1" applyFont="1" applyFill="1" applyBorder="1" applyAlignment="1" applyProtection="1">
      <alignment horizontal="center" vertical="center" wrapText="1"/>
      <protection hidden="1"/>
    </xf>
    <xf numFmtId="14" fontId="5" fillId="7" borderId="9" xfId="0" applyNumberFormat="1" applyFont="1" applyFill="1" applyBorder="1" applyAlignment="1" applyProtection="1">
      <alignment horizontal="center" vertical="center" wrapText="1"/>
      <protection hidden="1"/>
    </xf>
    <xf numFmtId="2" fontId="5" fillId="31" borderId="9" xfId="0" applyNumberFormat="1" applyFont="1" applyFill="1" applyBorder="1" applyAlignment="1" applyProtection="1">
      <alignment horizontal="center" vertical="center" wrapText="1"/>
      <protection hidden="1"/>
    </xf>
    <xf numFmtId="164" fontId="5" fillId="31" borderId="9" xfId="0" applyNumberFormat="1" applyFont="1" applyFill="1" applyBorder="1" applyAlignment="1" applyProtection="1">
      <alignment horizontal="center" vertical="center" wrapText="1"/>
      <protection hidden="1"/>
    </xf>
    <xf numFmtId="0" fontId="5" fillId="31" borderId="9" xfId="0" applyFont="1" applyFill="1" applyBorder="1" applyAlignment="1" applyProtection="1">
      <alignment horizontal="center" vertical="center" wrapText="1"/>
      <protection hidden="1"/>
    </xf>
    <xf numFmtId="164" fontId="5" fillId="31" borderId="34" xfId="0" applyNumberFormat="1" applyFont="1" applyFill="1" applyBorder="1" applyAlignment="1" applyProtection="1">
      <alignment horizontal="center" vertical="center" wrapText="1"/>
      <protection hidden="1"/>
    </xf>
    <xf numFmtId="0" fontId="5" fillId="7" borderId="30" xfId="0" applyFont="1" applyFill="1" applyBorder="1" applyAlignment="1" applyProtection="1">
      <alignment horizontal="center" vertical="center" wrapText="1"/>
      <protection hidden="1"/>
    </xf>
    <xf numFmtId="0" fontId="5" fillId="7" borderId="34" xfId="0" applyFont="1" applyFill="1" applyBorder="1" applyAlignment="1" applyProtection="1">
      <alignment horizontal="center" vertical="center" wrapText="1"/>
      <protection hidden="1"/>
    </xf>
    <xf numFmtId="166" fontId="5" fillId="31" borderId="9" xfId="0" applyNumberFormat="1" applyFont="1" applyFill="1" applyBorder="1" applyAlignment="1" applyProtection="1">
      <alignment horizontal="center" vertical="center" wrapText="1"/>
      <protection hidden="1"/>
    </xf>
    <xf numFmtId="166" fontId="5" fillId="7" borderId="34" xfId="0" applyNumberFormat="1" applyFont="1" applyFill="1" applyBorder="1" applyAlignment="1" applyProtection="1">
      <alignment horizontal="center" vertical="center" wrapText="1"/>
      <protection hidden="1"/>
    </xf>
    <xf numFmtId="0" fontId="5" fillId="7" borderId="43" xfId="0" applyFont="1" applyFill="1" applyBorder="1" applyAlignment="1" applyProtection="1">
      <alignment horizontal="center" vertical="center" wrapText="1"/>
      <protection hidden="1"/>
    </xf>
    <xf numFmtId="169" fontId="5" fillId="7" borderId="44" xfId="0" applyNumberFormat="1" applyFont="1" applyFill="1" applyBorder="1" applyAlignment="1" applyProtection="1">
      <alignment horizontal="center" vertical="center" wrapText="1"/>
      <protection hidden="1"/>
    </xf>
    <xf numFmtId="2" fontId="5" fillId="31" borderId="44" xfId="0" applyNumberFormat="1" applyFont="1" applyFill="1" applyBorder="1" applyAlignment="1" applyProtection="1">
      <alignment horizontal="center" vertical="center" wrapText="1"/>
      <protection hidden="1"/>
    </xf>
    <xf numFmtId="164" fontId="5" fillId="31" borderId="44" xfId="0" applyNumberFormat="1" applyFont="1" applyFill="1" applyBorder="1" applyAlignment="1" applyProtection="1">
      <alignment horizontal="center" vertical="center" wrapText="1"/>
      <protection hidden="1"/>
    </xf>
    <xf numFmtId="0" fontId="5" fillId="31" borderId="44" xfId="0" applyFont="1" applyFill="1" applyBorder="1" applyAlignment="1" applyProtection="1">
      <alignment horizontal="center" vertical="center" wrapText="1"/>
      <protection hidden="1"/>
    </xf>
    <xf numFmtId="164" fontId="5" fillId="31" borderId="37" xfId="0" applyNumberFormat="1" applyFont="1" applyFill="1" applyBorder="1" applyAlignment="1" applyProtection="1">
      <alignment horizontal="center" vertical="center" wrapText="1"/>
      <protection hidden="1"/>
    </xf>
    <xf numFmtId="0" fontId="5" fillId="7" borderId="37" xfId="0" applyFont="1" applyFill="1" applyBorder="1" applyAlignment="1" applyProtection="1">
      <alignment horizontal="center" vertical="center" wrapText="1"/>
      <protection hidden="1"/>
    </xf>
    <xf numFmtId="0" fontId="5" fillId="0" borderId="49" xfId="0" applyFont="1" applyBorder="1" applyAlignment="1" applyProtection="1">
      <alignment horizontal="center" vertical="center"/>
      <protection hidden="1"/>
    </xf>
    <xf numFmtId="167" fontId="5" fillId="7" borderId="40" xfId="0" applyNumberFormat="1" applyFont="1" applyFill="1" applyBorder="1" applyAlignment="1" applyProtection="1">
      <alignment horizontal="center" vertical="center" wrapText="1"/>
      <protection hidden="1"/>
    </xf>
    <xf numFmtId="169" fontId="5" fillId="7" borderId="40" xfId="0" applyNumberFormat="1" applyFont="1" applyFill="1" applyBorder="1" applyAlignment="1" applyProtection="1">
      <alignment horizontal="center" vertical="center" wrapText="1"/>
      <protection hidden="1"/>
    </xf>
    <xf numFmtId="14" fontId="5" fillId="7" borderId="40" xfId="0" applyNumberFormat="1" applyFont="1" applyFill="1" applyBorder="1" applyAlignment="1" applyProtection="1">
      <alignment horizontal="center" vertical="center" wrapText="1"/>
      <protection hidden="1"/>
    </xf>
    <xf numFmtId="2" fontId="5" fillId="7" borderId="9" xfId="0" applyNumberFormat="1" applyFont="1" applyFill="1" applyBorder="1" applyAlignment="1" applyProtection="1">
      <alignment horizontal="center" vertical="center" wrapText="1"/>
      <protection hidden="1"/>
    </xf>
    <xf numFmtId="164" fontId="5" fillId="0" borderId="0" xfId="0" applyNumberFormat="1" applyFont="1" applyFill="1" applyBorder="1" applyAlignment="1" applyProtection="1">
      <alignment vertical="center"/>
      <protection hidden="1"/>
    </xf>
    <xf numFmtId="167" fontId="5" fillId="0" borderId="0" xfId="0" applyNumberFormat="1" applyFont="1" applyFill="1" applyBorder="1" applyAlignment="1" applyProtection="1">
      <alignment horizontal="center" vertical="center"/>
      <protection hidden="1"/>
    </xf>
    <xf numFmtId="164" fontId="5" fillId="0" borderId="0" xfId="0" applyNumberFormat="1" applyFont="1" applyFill="1" applyBorder="1" applyAlignment="1" applyProtection="1">
      <alignment horizontal="center" vertical="center"/>
      <protection hidden="1"/>
    </xf>
    <xf numFmtId="165" fontId="5" fillId="0" borderId="0" xfId="0" applyNumberFormat="1" applyFont="1" applyFill="1" applyBorder="1" applyAlignment="1" applyProtection="1">
      <alignment horizontal="center" vertical="center"/>
      <protection hidden="1"/>
    </xf>
    <xf numFmtId="0" fontId="5" fillId="0" borderId="5" xfId="0" applyFont="1" applyBorder="1" applyAlignment="1" applyProtection="1">
      <alignment vertical="center"/>
      <protection hidden="1"/>
    </xf>
    <xf numFmtId="0" fontId="5" fillId="0" borderId="5" xfId="0" applyFont="1" applyBorder="1" applyAlignment="1" applyProtection="1">
      <alignment horizontal="center" vertical="center"/>
      <protection hidden="1"/>
    </xf>
    <xf numFmtId="169" fontId="5" fillId="0" borderId="5" xfId="0" applyNumberFormat="1" applyFont="1" applyBorder="1" applyAlignment="1" applyProtection="1">
      <alignment horizontal="center" vertical="center"/>
      <protection hidden="1"/>
    </xf>
    <xf numFmtId="0" fontId="5" fillId="0" borderId="38" xfId="0" applyFont="1" applyBorder="1" applyProtection="1">
      <protection hidden="1"/>
    </xf>
    <xf numFmtId="0" fontId="5" fillId="0" borderId="0" xfId="0" applyFont="1" applyBorder="1" applyAlignment="1" applyProtection="1">
      <alignment vertical="center" textRotation="90"/>
      <protection hidden="1"/>
    </xf>
    <xf numFmtId="0" fontId="5" fillId="0" borderId="0" xfId="0" applyFont="1" applyBorder="1" applyAlignment="1" applyProtection="1">
      <alignment vertical="center"/>
      <protection hidden="1"/>
    </xf>
    <xf numFmtId="14" fontId="5" fillId="0" borderId="0" xfId="0" applyNumberFormat="1" applyFont="1" applyBorder="1" applyAlignment="1" applyProtection="1">
      <alignment horizontal="center" vertical="center"/>
      <protection hidden="1"/>
    </xf>
    <xf numFmtId="2" fontId="5" fillId="0" borderId="0" xfId="0" applyNumberFormat="1" applyFont="1" applyFill="1" applyBorder="1" applyAlignment="1" applyProtection="1">
      <alignment horizontal="center" vertical="center"/>
      <protection hidden="1"/>
    </xf>
    <xf numFmtId="169" fontId="6" fillId="5" borderId="20" xfId="0" applyNumberFormat="1" applyFont="1" applyFill="1" applyBorder="1" applyAlignment="1" applyProtection="1">
      <alignment horizontal="center" vertical="center" wrapText="1"/>
      <protection hidden="1"/>
    </xf>
    <xf numFmtId="166" fontId="5" fillId="0" borderId="0" xfId="0" applyNumberFormat="1" applyFont="1" applyFill="1" applyBorder="1" applyAlignment="1" applyProtection="1">
      <alignment horizontal="center" vertical="center"/>
      <protection hidden="1"/>
    </xf>
    <xf numFmtId="0" fontId="5" fillId="0" borderId="29" xfId="0" applyFont="1" applyBorder="1" applyProtection="1">
      <protection hidden="1"/>
    </xf>
    <xf numFmtId="0" fontId="5" fillId="0" borderId="3" xfId="0" applyFont="1" applyBorder="1" applyAlignment="1" applyProtection="1">
      <alignment horizontal="center" vertical="center"/>
      <protection hidden="1"/>
    </xf>
    <xf numFmtId="169" fontId="5" fillId="0" borderId="3" xfId="0" applyNumberFormat="1" applyFont="1" applyBorder="1" applyAlignment="1" applyProtection="1">
      <alignment horizontal="center" vertical="center"/>
      <protection hidden="1"/>
    </xf>
    <xf numFmtId="0" fontId="5" fillId="0" borderId="4" xfId="0" applyFont="1" applyBorder="1" applyProtection="1">
      <protection hidden="1"/>
    </xf>
    <xf numFmtId="0" fontId="5" fillId="2" borderId="0" xfId="0" applyFont="1" applyFill="1" applyBorder="1" applyAlignment="1" applyProtection="1">
      <alignment horizontal="center" vertical="center" wrapText="1"/>
      <protection hidden="1"/>
    </xf>
    <xf numFmtId="2" fontId="5" fillId="2" borderId="0" xfId="0" applyNumberFormat="1" applyFont="1" applyFill="1" applyBorder="1" applyAlignment="1" applyProtection="1">
      <alignment horizontal="center" vertical="center"/>
      <protection hidden="1"/>
    </xf>
    <xf numFmtId="169" fontId="5" fillId="2" borderId="0" xfId="0" applyNumberFormat="1" applyFont="1" applyFill="1" applyBorder="1" applyAlignment="1" applyProtection="1">
      <alignment horizontal="center" vertical="center"/>
      <protection hidden="1"/>
    </xf>
    <xf numFmtId="0" fontId="5" fillId="0" borderId="49" xfId="0" applyFont="1" applyBorder="1" applyProtection="1">
      <protection hidden="1"/>
    </xf>
    <xf numFmtId="164" fontId="5" fillId="0" borderId="0" xfId="0" applyNumberFormat="1" applyFont="1" applyFill="1" applyBorder="1" applyAlignment="1" applyProtection="1">
      <alignment horizontal="center"/>
      <protection hidden="1"/>
    </xf>
    <xf numFmtId="0" fontId="5" fillId="0" borderId="5" xfId="0" applyFont="1" applyBorder="1" applyAlignment="1" applyProtection="1">
      <alignment vertical="center" textRotation="90" wrapText="1"/>
      <protection hidden="1"/>
    </xf>
    <xf numFmtId="169" fontId="5" fillId="2" borderId="5" xfId="0" applyNumberFormat="1" applyFont="1" applyFill="1" applyBorder="1" applyAlignment="1" applyProtection="1">
      <alignment horizontal="center" vertical="center"/>
      <protection hidden="1"/>
    </xf>
    <xf numFmtId="14" fontId="5" fillId="2" borderId="5" xfId="0" applyNumberFormat="1" applyFont="1" applyFill="1" applyBorder="1" applyAlignment="1" applyProtection="1">
      <alignment horizontal="center" vertical="center"/>
      <protection hidden="1"/>
    </xf>
    <xf numFmtId="0" fontId="5" fillId="0" borderId="19"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0" xfId="0" applyFont="1" applyBorder="1" applyAlignment="1" applyProtection="1">
      <alignment horizontal="center" vertical="center"/>
      <protection hidden="1"/>
    </xf>
    <xf numFmtId="1" fontId="5" fillId="7" borderId="9" xfId="0" applyNumberFormat="1" applyFont="1" applyFill="1" applyBorder="1" applyAlignment="1" applyProtection="1">
      <alignment vertical="center" wrapText="1"/>
      <protection hidden="1"/>
    </xf>
    <xf numFmtId="165" fontId="5" fillId="7" borderId="9" xfId="0" applyNumberFormat="1" applyFont="1" applyFill="1" applyBorder="1" applyAlignment="1" applyProtection="1">
      <alignment horizontal="center" vertical="center"/>
      <protection hidden="1"/>
    </xf>
    <xf numFmtId="165" fontId="6" fillId="7" borderId="9" xfId="0" applyNumberFormat="1" applyFont="1" applyFill="1" applyBorder="1" applyAlignment="1" applyProtection="1">
      <alignment horizontal="center" vertical="center"/>
      <protection hidden="1"/>
    </xf>
    <xf numFmtId="166" fontId="6" fillId="7" borderId="9" xfId="0" applyNumberFormat="1" applyFont="1" applyFill="1" applyBorder="1" applyAlignment="1" applyProtection="1">
      <alignment horizontal="center" vertical="center"/>
      <protection hidden="1"/>
    </xf>
    <xf numFmtId="1" fontId="5" fillId="7" borderId="40" xfId="0" applyNumberFormat="1" applyFont="1" applyFill="1" applyBorder="1" applyAlignment="1" applyProtection="1">
      <alignment vertical="center" wrapText="1"/>
      <protection hidden="1"/>
    </xf>
    <xf numFmtId="165" fontId="5" fillId="7" borderId="40" xfId="0" applyNumberFormat="1" applyFont="1" applyFill="1" applyBorder="1" applyAlignment="1" applyProtection="1">
      <alignment horizontal="center" vertical="center"/>
      <protection hidden="1"/>
    </xf>
    <xf numFmtId="1" fontId="5" fillId="7" borderId="44" xfId="0" applyNumberFormat="1" applyFont="1" applyFill="1" applyBorder="1" applyAlignment="1" applyProtection="1">
      <alignment vertical="center" wrapText="1"/>
      <protection hidden="1"/>
    </xf>
    <xf numFmtId="165" fontId="5" fillId="7" borderId="44" xfId="0" applyNumberFormat="1" applyFont="1" applyFill="1" applyBorder="1" applyAlignment="1" applyProtection="1">
      <alignment horizontal="center" vertical="center"/>
      <protection hidden="1"/>
    </xf>
    <xf numFmtId="166" fontId="5" fillId="7" borderId="44" xfId="0" applyNumberFormat="1" applyFont="1" applyFill="1" applyBorder="1" applyAlignment="1" applyProtection="1">
      <alignment horizontal="center" vertical="center"/>
      <protection hidden="1"/>
    </xf>
    <xf numFmtId="166" fontId="5" fillId="31" borderId="44" xfId="0" applyNumberFormat="1" applyFont="1" applyFill="1" applyBorder="1" applyAlignment="1" applyProtection="1">
      <alignment horizontal="center" vertical="center"/>
      <protection hidden="1"/>
    </xf>
    <xf numFmtId="0" fontId="6" fillId="30" borderId="1" xfId="0" applyFont="1" applyFill="1" applyBorder="1" applyAlignment="1" applyProtection="1">
      <alignment horizontal="center" vertical="center"/>
      <protection hidden="1"/>
    </xf>
    <xf numFmtId="0" fontId="6" fillId="30" borderId="6" xfId="0" applyFont="1" applyFill="1" applyBorder="1" applyAlignment="1" applyProtection="1">
      <alignment horizontal="center" vertical="center"/>
      <protection hidden="1"/>
    </xf>
    <xf numFmtId="1" fontId="5" fillId="0" borderId="0" xfId="0" applyNumberFormat="1" applyFont="1" applyFill="1" applyBorder="1" applyAlignment="1" applyProtection="1">
      <alignment vertical="center" wrapText="1"/>
      <protection hidden="1"/>
    </xf>
    <xf numFmtId="166" fontId="5" fillId="0" borderId="0" xfId="0" applyNumberFormat="1" applyFont="1" applyBorder="1" applyAlignment="1" applyProtection="1">
      <alignment horizontal="center" vertical="center"/>
      <protection hidden="1"/>
    </xf>
    <xf numFmtId="2" fontId="5" fillId="14" borderId="44" xfId="0" applyNumberFormat="1" applyFont="1" applyFill="1" applyBorder="1" applyAlignment="1" applyProtection="1">
      <alignment horizontal="center" vertical="center" wrapText="1"/>
      <protection hidden="1"/>
    </xf>
    <xf numFmtId="0" fontId="5" fillId="7" borderId="14" xfId="0" applyFont="1" applyFill="1" applyBorder="1" applyAlignment="1" applyProtection="1">
      <alignment horizontal="center" vertical="center" wrapText="1"/>
      <protection hidden="1"/>
    </xf>
    <xf numFmtId="0" fontId="5" fillId="7" borderId="57" xfId="0" applyFont="1" applyFill="1" applyBorder="1" applyAlignment="1" applyProtection="1">
      <alignment horizontal="center" vertical="center" wrapText="1"/>
      <protection hidden="1"/>
    </xf>
    <xf numFmtId="0" fontId="25" fillId="19" borderId="22" xfId="0" applyFont="1" applyFill="1" applyBorder="1" applyAlignment="1" applyProtection="1">
      <alignment horizontal="center" vertical="top" wrapText="1"/>
      <protection hidden="1"/>
    </xf>
    <xf numFmtId="2" fontId="5" fillId="12" borderId="40" xfId="0" applyNumberFormat="1" applyFont="1" applyFill="1" applyBorder="1" applyAlignment="1" applyProtection="1">
      <alignment horizontal="center" vertical="center" wrapText="1"/>
      <protection hidden="1"/>
    </xf>
    <xf numFmtId="164" fontId="5" fillId="12" borderId="9" xfId="0" applyNumberFormat="1" applyFont="1" applyFill="1" applyBorder="1" applyAlignment="1" applyProtection="1">
      <alignment horizontal="center" vertical="center" wrapText="1"/>
      <protection hidden="1"/>
    </xf>
    <xf numFmtId="165" fontId="5" fillId="12" borderId="9" xfId="0" applyNumberFormat="1" applyFont="1" applyFill="1" applyBorder="1" applyAlignment="1" applyProtection="1">
      <alignment horizontal="center" vertical="center" wrapText="1"/>
      <protection hidden="1"/>
    </xf>
    <xf numFmtId="165" fontId="7" fillId="7" borderId="39" xfId="0" applyNumberFormat="1" applyFont="1" applyFill="1" applyBorder="1" applyAlignment="1" applyProtection="1">
      <alignment horizontal="center" vertical="center" wrapText="1"/>
      <protection hidden="1"/>
    </xf>
    <xf numFmtId="2" fontId="7" fillId="7" borderId="36" xfId="0" applyNumberFormat="1" applyFont="1" applyFill="1" applyBorder="1" applyAlignment="1" applyProtection="1">
      <alignment horizontal="center" vertical="center" wrapText="1"/>
      <protection hidden="1"/>
    </xf>
    <xf numFmtId="176" fontId="7" fillId="7" borderId="34" xfId="0" applyNumberFormat="1" applyFont="1" applyFill="1" applyBorder="1" applyAlignment="1" applyProtection="1">
      <alignment horizontal="center" vertical="center" wrapText="1"/>
      <protection hidden="1"/>
    </xf>
    <xf numFmtId="176" fontId="7" fillId="7" borderId="37" xfId="0" applyNumberFormat="1" applyFont="1" applyFill="1" applyBorder="1" applyAlignment="1" applyProtection="1">
      <alignment horizontal="center" vertical="center" wrapText="1"/>
      <protection hidden="1"/>
    </xf>
    <xf numFmtId="165" fontId="7" fillId="7" borderId="41" xfId="0" applyNumberFormat="1" applyFont="1" applyFill="1" applyBorder="1" applyAlignment="1" applyProtection="1">
      <alignment horizontal="center" vertical="center" wrapText="1"/>
      <protection hidden="1"/>
    </xf>
    <xf numFmtId="166" fontId="53" fillId="7" borderId="41" xfId="0" applyNumberFormat="1" applyFont="1" applyFill="1" applyBorder="1" applyAlignment="1" applyProtection="1">
      <alignment horizontal="center" vertical="center"/>
      <protection hidden="1"/>
    </xf>
    <xf numFmtId="165" fontId="7" fillId="7" borderId="34" xfId="0" applyNumberFormat="1" applyFont="1" applyFill="1" applyBorder="1" applyAlignment="1" applyProtection="1">
      <alignment horizontal="center" vertical="center" wrapText="1"/>
      <protection hidden="1"/>
    </xf>
    <xf numFmtId="166" fontId="53" fillId="7" borderId="34" xfId="0" applyNumberFormat="1" applyFont="1" applyFill="1" applyBorder="1" applyAlignment="1" applyProtection="1">
      <alignment horizontal="center" vertical="center"/>
      <protection hidden="1"/>
    </xf>
    <xf numFmtId="176" fontId="7" fillId="7" borderId="66" xfId="0" applyNumberFormat="1" applyFont="1" applyFill="1" applyBorder="1" applyAlignment="1" applyProtection="1">
      <alignment horizontal="center" vertical="center" wrapText="1"/>
      <protection hidden="1"/>
    </xf>
    <xf numFmtId="176" fontId="7" fillId="7" borderId="69" xfId="0" applyNumberFormat="1" applyFont="1" applyFill="1" applyBorder="1" applyAlignment="1" applyProtection="1">
      <alignment horizontal="center" vertical="center" wrapText="1"/>
      <protection hidden="1"/>
    </xf>
    <xf numFmtId="165" fontId="7" fillId="7" borderId="37" xfId="0" applyNumberFormat="1" applyFont="1" applyFill="1" applyBorder="1" applyAlignment="1" applyProtection="1">
      <alignment horizontal="center" vertical="center" wrapText="1"/>
      <protection hidden="1"/>
    </xf>
    <xf numFmtId="166" fontId="53" fillId="7" borderId="37" xfId="0" applyNumberFormat="1" applyFont="1" applyFill="1" applyBorder="1" applyAlignment="1" applyProtection="1">
      <alignment horizontal="center" vertical="center"/>
      <protection hidden="1"/>
    </xf>
    <xf numFmtId="167" fontId="7" fillId="7" borderId="9" xfId="0" applyNumberFormat="1" applyFont="1" applyFill="1" applyBorder="1" applyAlignment="1" applyProtection="1">
      <alignment horizontal="center" vertical="center" wrapText="1"/>
      <protection hidden="1"/>
    </xf>
    <xf numFmtId="167" fontId="7" fillId="7" borderId="44" xfId="0" applyNumberFormat="1" applyFont="1" applyFill="1" applyBorder="1" applyAlignment="1" applyProtection="1">
      <alignment horizontal="center" vertical="center" wrapText="1"/>
      <protection hidden="1"/>
    </xf>
    <xf numFmtId="0" fontId="25" fillId="5" borderId="22" xfId="0" applyFont="1" applyFill="1" applyBorder="1" applyAlignment="1" applyProtection="1">
      <alignment horizontal="center" vertical="center" wrapText="1"/>
      <protection hidden="1"/>
    </xf>
    <xf numFmtId="0" fontId="6" fillId="5" borderId="57" xfId="0" applyFont="1" applyFill="1" applyBorder="1" applyAlignment="1" applyProtection="1">
      <alignment horizontal="left" vertical="center" wrapText="1"/>
      <protection hidden="1"/>
    </xf>
    <xf numFmtId="164" fontId="7" fillId="7" borderId="9" xfId="0" applyNumberFormat="1" applyFont="1" applyFill="1" applyBorder="1" applyAlignment="1" applyProtection="1">
      <alignment horizontal="center" vertical="center" wrapText="1"/>
      <protection hidden="1"/>
    </xf>
    <xf numFmtId="0" fontId="14" fillId="5" borderId="39" xfId="0" applyFont="1" applyFill="1" applyBorder="1" applyAlignment="1" applyProtection="1">
      <alignment horizontal="center" vertical="center" wrapText="1"/>
      <protection hidden="1"/>
    </xf>
    <xf numFmtId="0" fontId="14" fillId="5" borderId="32" xfId="0" applyFont="1" applyFill="1" applyBorder="1" applyAlignment="1" applyProtection="1">
      <alignment horizontal="center" vertical="center" wrapText="1"/>
      <protection hidden="1"/>
    </xf>
    <xf numFmtId="164" fontId="7" fillId="7" borderId="44" xfId="0" applyNumberFormat="1" applyFont="1" applyFill="1" applyBorder="1" applyAlignment="1" applyProtection="1">
      <alignment horizontal="center" vertical="center" wrapText="1"/>
      <protection hidden="1"/>
    </xf>
    <xf numFmtId="0" fontId="5" fillId="0" borderId="0" xfId="0" applyFont="1" applyAlignment="1" applyProtection="1">
      <alignment vertical="center" wrapText="1"/>
      <protection hidden="1"/>
    </xf>
    <xf numFmtId="166" fontId="7" fillId="0" borderId="0" xfId="0" applyNumberFormat="1" applyFont="1" applyAlignment="1" applyProtection="1">
      <alignment vertical="center" wrapText="1"/>
      <protection hidden="1"/>
    </xf>
    <xf numFmtId="167" fontId="5" fillId="31" borderId="9" xfId="0" applyNumberFormat="1" applyFont="1" applyFill="1" applyBorder="1" applyAlignment="1" applyProtection="1">
      <alignment horizontal="center" vertical="center" wrapText="1"/>
      <protection locked="0"/>
    </xf>
    <xf numFmtId="167" fontId="5" fillId="31" borderId="34" xfId="0" applyNumberFormat="1" applyFont="1" applyFill="1" applyBorder="1" applyAlignment="1" applyProtection="1">
      <alignment horizontal="center" vertical="center" wrapText="1"/>
      <protection locked="0"/>
    </xf>
    <xf numFmtId="2" fontId="14" fillId="19" borderId="22" xfId="1" applyNumberFormat="1" applyFont="1" applyFill="1" applyBorder="1" applyAlignment="1" applyProtection="1">
      <alignment horizontal="center" vertical="center" wrapText="1"/>
      <protection hidden="1"/>
    </xf>
    <xf numFmtId="14" fontId="7" fillId="20" borderId="40" xfId="0" applyNumberFormat="1" applyFont="1" applyFill="1" applyBorder="1" applyAlignment="1" applyProtection="1">
      <alignment horizontal="center" vertical="center" wrapText="1"/>
      <protection hidden="1"/>
    </xf>
    <xf numFmtId="2" fontId="5" fillId="20" borderId="40" xfId="0" applyNumberFormat="1" applyFont="1" applyFill="1" applyBorder="1" applyAlignment="1" applyProtection="1">
      <alignment horizontal="center" vertical="center" wrapText="1"/>
      <protection hidden="1"/>
    </xf>
    <xf numFmtId="164" fontId="5" fillId="20" borderId="9" xfId="0" applyNumberFormat="1" applyFont="1" applyFill="1" applyBorder="1" applyAlignment="1" applyProtection="1">
      <alignment horizontal="center" vertical="center" wrapText="1"/>
      <protection hidden="1"/>
    </xf>
    <xf numFmtId="165" fontId="5" fillId="20" borderId="9" xfId="0" applyNumberFormat="1" applyFont="1" applyFill="1" applyBorder="1" applyAlignment="1" applyProtection="1">
      <alignment horizontal="center" vertical="center" wrapText="1"/>
      <protection hidden="1"/>
    </xf>
    <xf numFmtId="0" fontId="57" fillId="24" borderId="1" xfId="6" applyFont="1" applyBorder="1" applyAlignment="1" applyProtection="1">
      <alignment horizontal="center" vertical="center"/>
      <protection locked="0" hidden="1"/>
    </xf>
    <xf numFmtId="0" fontId="6" fillId="16" borderId="67" xfId="0" applyFont="1" applyFill="1" applyBorder="1" applyAlignment="1" applyProtection="1">
      <alignment horizontal="center" vertical="center" wrapText="1"/>
      <protection hidden="1"/>
    </xf>
    <xf numFmtId="0" fontId="14" fillId="16" borderId="73" xfId="0" applyFont="1" applyFill="1" applyBorder="1" applyAlignment="1" applyProtection="1">
      <alignment horizontal="center" vertical="center" wrapText="1"/>
      <protection hidden="1"/>
    </xf>
    <xf numFmtId="167" fontId="7" fillId="6" borderId="40" xfId="0" applyNumberFormat="1" applyFont="1" applyFill="1" applyBorder="1" applyAlignment="1" applyProtection="1">
      <alignment horizontal="center" vertical="center" wrapText="1"/>
      <protection locked="0" hidden="1"/>
    </xf>
    <xf numFmtId="167" fontId="5" fillId="15" borderId="9" xfId="0" applyNumberFormat="1" applyFont="1" applyFill="1" applyBorder="1" applyAlignment="1">
      <alignment horizontal="center" vertical="center" wrapText="1"/>
    </xf>
    <xf numFmtId="167" fontId="5" fillId="15" borderId="44" xfId="0" applyNumberFormat="1" applyFont="1" applyFill="1" applyBorder="1" applyAlignment="1">
      <alignment horizontal="center" vertical="center" wrapText="1"/>
    </xf>
    <xf numFmtId="0" fontId="7" fillId="7" borderId="44" xfId="0" applyFont="1" applyFill="1" applyBorder="1" applyAlignment="1" applyProtection="1">
      <alignment horizontal="center" vertical="center" wrapText="1"/>
      <protection hidden="1"/>
    </xf>
    <xf numFmtId="176" fontId="7" fillId="0" borderId="0" xfId="0" applyNumberFormat="1" applyFont="1" applyAlignment="1" applyProtection="1">
      <alignment horizontal="center" vertical="center" wrapText="1"/>
      <protection hidden="1"/>
    </xf>
    <xf numFmtId="0" fontId="7" fillId="0" borderId="0" xfId="0" applyFont="1" applyAlignment="1" applyProtection="1">
      <alignment horizontal="center" vertical="center" wrapText="1"/>
      <protection hidden="1"/>
    </xf>
    <xf numFmtId="167" fontId="7" fillId="0" borderId="0" xfId="0" applyNumberFormat="1" applyFont="1" applyAlignment="1" applyProtection="1">
      <alignment horizontal="center"/>
      <protection hidden="1"/>
    </xf>
    <xf numFmtId="166" fontId="7" fillId="0" borderId="0" xfId="0" applyNumberFormat="1" applyFont="1" applyAlignment="1" applyProtection="1">
      <alignment horizontal="center"/>
      <protection hidden="1"/>
    </xf>
    <xf numFmtId="2" fontId="14" fillId="7" borderId="9" xfId="0" applyNumberFormat="1" applyFont="1" applyFill="1" applyBorder="1" applyAlignment="1" applyProtection="1">
      <alignment horizontal="center" vertical="center" wrapText="1"/>
      <protection hidden="1"/>
    </xf>
    <xf numFmtId="0" fontId="6" fillId="7" borderId="57" xfId="0" applyFont="1" applyFill="1" applyBorder="1" applyAlignment="1" applyProtection="1">
      <alignment horizontal="left" vertical="center" wrapText="1"/>
      <protection hidden="1"/>
    </xf>
    <xf numFmtId="2" fontId="14" fillId="7" borderId="44" xfId="0" applyNumberFormat="1" applyFont="1" applyFill="1" applyBorder="1" applyAlignment="1" applyProtection="1">
      <alignment horizontal="center" vertical="center" wrapText="1"/>
      <protection hidden="1"/>
    </xf>
    <xf numFmtId="167" fontId="7" fillId="7" borderId="59" xfId="0" applyNumberFormat="1" applyFont="1" applyFill="1" applyBorder="1" applyAlignment="1" applyProtection="1">
      <alignment horizontal="center" vertical="center" wrapText="1"/>
      <protection hidden="1"/>
    </xf>
    <xf numFmtId="0" fontId="13" fillId="17" borderId="19" xfId="0" applyFont="1" applyFill="1" applyBorder="1" applyAlignment="1" applyProtection="1">
      <alignment horizontal="center" vertical="center" wrapText="1"/>
      <protection hidden="1"/>
    </xf>
    <xf numFmtId="0" fontId="13" fillId="17" borderId="22" xfId="0" applyFont="1" applyFill="1" applyBorder="1" applyAlignment="1" applyProtection="1">
      <alignment horizontal="center" vertical="center"/>
      <protection hidden="1"/>
    </xf>
    <xf numFmtId="0" fontId="13" fillId="17" borderId="22" xfId="0" applyFont="1" applyFill="1" applyBorder="1" applyAlignment="1" applyProtection="1">
      <alignment horizontal="center" vertical="center" wrapText="1"/>
      <protection hidden="1"/>
    </xf>
    <xf numFmtId="0" fontId="13" fillId="17" borderId="20" xfId="0" applyFont="1" applyFill="1" applyBorder="1" applyAlignment="1" applyProtection="1">
      <alignment horizontal="center" vertical="center" wrapText="1"/>
      <protection hidden="1"/>
    </xf>
    <xf numFmtId="0" fontId="13" fillId="18" borderId="19" xfId="0" applyFont="1" applyFill="1" applyBorder="1" applyAlignment="1" applyProtection="1">
      <alignment horizontal="center" vertical="center" wrapText="1"/>
      <protection hidden="1"/>
    </xf>
    <xf numFmtId="0" fontId="13" fillId="18" borderId="22" xfId="0" applyFont="1" applyFill="1" applyBorder="1" applyAlignment="1" applyProtection="1">
      <alignment horizontal="center" vertical="center" wrapText="1"/>
      <protection hidden="1"/>
    </xf>
    <xf numFmtId="169" fontId="13" fillId="18" borderId="22" xfId="0" applyNumberFormat="1" applyFont="1" applyFill="1" applyBorder="1" applyAlignment="1" applyProtection="1">
      <alignment horizontal="center" vertical="center" wrapText="1"/>
      <protection hidden="1"/>
    </xf>
    <xf numFmtId="0" fontId="13" fillId="18" borderId="28" xfId="0" applyFont="1" applyFill="1" applyBorder="1" applyAlignment="1" applyProtection="1">
      <alignment horizontal="center" vertical="center" wrapText="1"/>
      <protection hidden="1"/>
    </xf>
    <xf numFmtId="0" fontId="13" fillId="18" borderId="20" xfId="0" applyFont="1" applyFill="1" applyBorder="1" applyAlignment="1" applyProtection="1">
      <alignment horizontal="center" vertical="center" wrapText="1"/>
      <protection hidden="1"/>
    </xf>
    <xf numFmtId="0" fontId="5" fillId="0" borderId="0" xfId="0" applyFont="1" applyFill="1" applyAlignment="1" applyProtection="1">
      <alignment vertical="center" wrapText="1"/>
      <protection hidden="1"/>
    </xf>
    <xf numFmtId="0" fontId="7" fillId="0" borderId="0" xfId="0" applyFont="1" applyFill="1" applyAlignment="1" applyProtection="1">
      <alignment horizontal="center" vertical="center" wrapText="1"/>
      <protection hidden="1"/>
    </xf>
    <xf numFmtId="2" fontId="7" fillId="0" borderId="0" xfId="0" applyNumberFormat="1" applyFont="1" applyFill="1" applyAlignment="1" applyProtection="1">
      <alignment vertical="center" wrapText="1"/>
      <protection hidden="1"/>
    </xf>
    <xf numFmtId="0" fontId="5" fillId="7" borderId="9" xfId="0" applyFont="1" applyFill="1" applyBorder="1" applyAlignment="1" applyProtection="1">
      <alignment horizontal="center" vertical="center" wrapText="1"/>
      <protection hidden="1"/>
    </xf>
    <xf numFmtId="169" fontId="5" fillId="14" borderId="44" xfId="0" applyNumberFormat="1" applyFont="1" applyFill="1" applyBorder="1" applyAlignment="1" applyProtection="1">
      <alignment horizontal="center" vertical="center" wrapText="1"/>
      <protection hidden="1"/>
    </xf>
    <xf numFmtId="0" fontId="6" fillId="5" borderId="22" xfId="0" applyFont="1" applyFill="1" applyBorder="1" applyAlignment="1" applyProtection="1">
      <alignment horizontal="center" vertical="center" wrapText="1"/>
      <protection hidden="1"/>
    </xf>
    <xf numFmtId="0" fontId="6" fillId="5" borderId="19" xfId="0" applyFont="1" applyFill="1" applyBorder="1" applyAlignment="1" applyProtection="1">
      <alignment horizontal="center" vertical="center" wrapText="1"/>
      <protection hidden="1"/>
    </xf>
    <xf numFmtId="0" fontId="6" fillId="5" borderId="32" xfId="0" applyFont="1" applyFill="1" applyBorder="1" applyAlignment="1" applyProtection="1">
      <alignment horizontal="center" vertical="center" wrapText="1"/>
      <protection hidden="1"/>
    </xf>
    <xf numFmtId="1" fontId="7" fillId="7" borderId="9" xfId="0" applyNumberFormat="1" applyFont="1" applyFill="1" applyBorder="1" applyAlignment="1" applyProtection="1">
      <alignment horizontal="center" vertical="center" wrapText="1"/>
      <protection hidden="1"/>
    </xf>
    <xf numFmtId="0" fontId="5" fillId="0" borderId="0" xfId="0" applyFont="1" applyAlignment="1" applyProtection="1">
      <alignment horizontal="center" vertical="center"/>
      <protection hidden="1"/>
    </xf>
    <xf numFmtId="0" fontId="5" fillId="7" borderId="19" xfId="0" applyFont="1" applyFill="1" applyBorder="1" applyAlignment="1" applyProtection="1">
      <alignment horizontal="center" vertical="center"/>
      <protection hidden="1"/>
    </xf>
    <xf numFmtId="0" fontId="4" fillId="7" borderId="22" xfId="0" applyFont="1" applyFill="1" applyBorder="1" applyAlignment="1" applyProtection="1">
      <alignment horizontal="center" vertical="center" wrapText="1"/>
      <protection hidden="1"/>
    </xf>
    <xf numFmtId="0" fontId="5" fillId="7" borderId="22" xfId="0" applyFont="1" applyFill="1" applyBorder="1" applyAlignment="1" applyProtection="1">
      <alignment horizontal="center" vertical="center" wrapText="1"/>
      <protection hidden="1"/>
    </xf>
    <xf numFmtId="169" fontId="5" fillId="7" borderId="28" xfId="0" applyNumberFormat="1" applyFont="1" applyFill="1" applyBorder="1" applyAlignment="1" applyProtection="1">
      <alignment horizontal="center" vertical="center" wrapText="1"/>
      <protection hidden="1"/>
    </xf>
    <xf numFmtId="14" fontId="4" fillId="7" borderId="1" xfId="0" applyNumberFormat="1" applyFont="1" applyFill="1" applyBorder="1" applyAlignment="1" applyProtection="1">
      <alignment horizontal="center" vertical="center" wrapText="1"/>
      <protection hidden="1"/>
    </xf>
    <xf numFmtId="0" fontId="5" fillId="21" borderId="71" xfId="0" applyFont="1" applyFill="1" applyBorder="1" applyAlignment="1" applyProtection="1">
      <alignment horizontal="center" vertical="center"/>
      <protection hidden="1"/>
    </xf>
    <xf numFmtId="169" fontId="5" fillId="31" borderId="40" xfId="0" applyNumberFormat="1" applyFont="1" applyFill="1" applyBorder="1" applyAlignment="1" applyProtection="1">
      <alignment horizontal="center" vertical="center"/>
      <protection hidden="1"/>
    </xf>
    <xf numFmtId="169" fontId="5" fillId="31" borderId="9" xfId="0" applyNumberFormat="1" applyFont="1" applyFill="1" applyBorder="1" applyAlignment="1" applyProtection="1">
      <alignment horizontal="center" vertical="center"/>
      <protection hidden="1"/>
    </xf>
    <xf numFmtId="169" fontId="5" fillId="31" borderId="44" xfId="0" applyNumberFormat="1" applyFont="1" applyFill="1" applyBorder="1" applyAlignment="1" applyProtection="1">
      <alignment horizontal="center" vertical="center"/>
      <protection hidden="1"/>
    </xf>
    <xf numFmtId="0" fontId="24" fillId="14" borderId="32" xfId="0" applyFont="1" applyFill="1" applyBorder="1" applyAlignment="1">
      <alignment horizontal="center" vertical="center"/>
    </xf>
    <xf numFmtId="0" fontId="24" fillId="14" borderId="9" xfId="0" applyFont="1" applyFill="1" applyBorder="1" applyAlignment="1">
      <alignment horizontal="center" vertical="center"/>
    </xf>
    <xf numFmtId="0" fontId="60" fillId="14" borderId="34" xfId="0" applyFont="1" applyFill="1" applyBorder="1" applyAlignment="1">
      <alignment horizontal="center" vertical="center" wrapText="1"/>
    </xf>
    <xf numFmtId="0" fontId="24" fillId="14" borderId="43" xfId="0" applyFont="1" applyFill="1" applyBorder="1" applyAlignment="1">
      <alignment horizontal="center" vertical="center"/>
    </xf>
    <xf numFmtId="0" fontId="24" fillId="14" borderId="44" xfId="0" applyFont="1" applyFill="1" applyBorder="1" applyAlignment="1">
      <alignment horizontal="center" vertical="center"/>
    </xf>
    <xf numFmtId="0" fontId="60" fillId="14" borderId="37" xfId="0" applyFont="1" applyFill="1" applyBorder="1" applyAlignment="1">
      <alignment horizontal="center" vertical="center" wrapText="1"/>
    </xf>
    <xf numFmtId="171" fontId="5" fillId="7" borderId="22" xfId="0" applyNumberFormat="1" applyFont="1" applyFill="1" applyBorder="1" applyAlignment="1" applyProtection="1">
      <alignment horizontal="center" vertical="center" wrapText="1"/>
      <protection hidden="1"/>
    </xf>
    <xf numFmtId="11" fontId="5" fillId="7" borderId="22" xfId="0" applyNumberFormat="1" applyFont="1" applyFill="1" applyBorder="1" applyAlignment="1" applyProtection="1">
      <alignment horizontal="center" vertical="center" wrapText="1"/>
      <protection hidden="1"/>
    </xf>
    <xf numFmtId="0" fontId="5" fillId="31" borderId="39" xfId="0" applyFont="1" applyFill="1" applyBorder="1" applyAlignment="1" applyProtection="1">
      <alignment horizontal="center" vertical="center"/>
      <protection hidden="1"/>
    </xf>
    <xf numFmtId="167" fontId="5" fillId="31" borderId="40" xfId="0" applyNumberFormat="1" applyFont="1" applyFill="1" applyBorder="1" applyAlignment="1" applyProtection="1">
      <alignment horizontal="center" vertical="center"/>
      <protection hidden="1"/>
    </xf>
    <xf numFmtId="0" fontId="5" fillId="31" borderId="73" xfId="0" applyFont="1" applyFill="1" applyBorder="1" applyAlignment="1" applyProtection="1">
      <alignment horizontal="center" vertical="center"/>
      <protection hidden="1"/>
    </xf>
    <xf numFmtId="0" fontId="5" fillId="31" borderId="32" xfId="0" applyFont="1" applyFill="1" applyBorder="1" applyAlignment="1" applyProtection="1">
      <alignment horizontal="center" vertical="center"/>
      <protection hidden="1"/>
    </xf>
    <xf numFmtId="0" fontId="5" fillId="31" borderId="18" xfId="0" applyFont="1" applyFill="1" applyBorder="1" applyAlignment="1" applyProtection="1">
      <alignment horizontal="center" vertical="center"/>
      <protection hidden="1"/>
    </xf>
    <xf numFmtId="167" fontId="5" fillId="31" borderId="18" xfId="0" applyNumberFormat="1" applyFont="1" applyFill="1" applyBorder="1" applyAlignment="1" applyProtection="1">
      <alignment horizontal="center" vertical="center"/>
      <protection hidden="1"/>
    </xf>
    <xf numFmtId="0" fontId="5" fillId="31" borderId="34" xfId="0" applyFont="1" applyFill="1" applyBorder="1" applyAlignment="1" applyProtection="1">
      <alignment horizontal="center" vertical="center"/>
      <protection hidden="1"/>
    </xf>
    <xf numFmtId="167" fontId="5" fillId="31" borderId="43" xfId="0" applyNumberFormat="1" applyFont="1" applyFill="1" applyBorder="1" applyAlignment="1" applyProtection="1">
      <alignment horizontal="center" vertical="center"/>
      <protection hidden="1"/>
    </xf>
    <xf numFmtId="0" fontId="5" fillId="31" borderId="53" xfId="0" applyFont="1" applyFill="1" applyBorder="1" applyAlignment="1" applyProtection="1">
      <alignment horizontal="center" vertical="center"/>
      <protection hidden="1"/>
    </xf>
    <xf numFmtId="167" fontId="5" fillId="31" borderId="53" xfId="0" applyNumberFormat="1" applyFont="1" applyFill="1" applyBorder="1" applyAlignment="1" applyProtection="1">
      <alignment horizontal="center" vertical="center"/>
      <protection hidden="1"/>
    </xf>
    <xf numFmtId="0" fontId="5" fillId="31" borderId="37" xfId="0" applyFont="1" applyFill="1" applyBorder="1" applyAlignment="1" applyProtection="1">
      <alignment horizontal="center" vertical="center"/>
      <protection hidden="1"/>
    </xf>
    <xf numFmtId="0" fontId="5" fillId="31" borderId="41" xfId="0" applyFont="1" applyFill="1" applyBorder="1" applyAlignment="1" applyProtection="1">
      <alignment horizontal="center" vertical="center"/>
      <protection hidden="1"/>
    </xf>
    <xf numFmtId="167" fontId="5" fillId="31" borderId="32" xfId="0" applyNumberFormat="1" applyFont="1" applyFill="1" applyBorder="1" applyAlignment="1" applyProtection="1">
      <alignment horizontal="center" vertical="center"/>
      <protection hidden="1"/>
    </xf>
    <xf numFmtId="167" fontId="5" fillId="31" borderId="9" xfId="0" applyNumberFormat="1" applyFont="1" applyFill="1" applyBorder="1" applyAlignment="1" applyProtection="1">
      <alignment horizontal="center" vertical="center"/>
      <protection hidden="1"/>
    </xf>
    <xf numFmtId="0" fontId="5" fillId="31" borderId="43" xfId="0" applyFont="1" applyFill="1" applyBorder="1" applyAlignment="1" applyProtection="1">
      <alignment horizontal="center" vertical="center"/>
      <protection hidden="1"/>
    </xf>
    <xf numFmtId="167" fontId="5" fillId="31" borderId="44" xfId="0" applyNumberFormat="1" applyFont="1" applyFill="1" applyBorder="1" applyAlignment="1" applyProtection="1">
      <alignment horizontal="center" vertical="center"/>
      <protection hidden="1"/>
    </xf>
    <xf numFmtId="166" fontId="5" fillId="31" borderId="41" xfId="0" applyNumberFormat="1" applyFont="1" applyFill="1" applyBorder="1" applyAlignment="1" applyProtection="1">
      <alignment horizontal="center" vertical="center"/>
      <protection hidden="1"/>
    </xf>
    <xf numFmtId="167" fontId="5" fillId="31" borderId="39" xfId="0" applyNumberFormat="1" applyFont="1" applyFill="1" applyBorder="1" applyAlignment="1" applyProtection="1">
      <alignment horizontal="center" vertical="center"/>
      <protection hidden="1"/>
    </xf>
    <xf numFmtId="0" fontId="5" fillId="31" borderId="31" xfId="0" applyFont="1" applyFill="1" applyBorder="1" applyAlignment="1" applyProtection="1">
      <alignment horizontal="center" vertical="center"/>
      <protection hidden="1"/>
    </xf>
    <xf numFmtId="0" fontId="5" fillId="31" borderId="11" xfId="0" applyFont="1" applyFill="1" applyBorder="1" applyAlignment="1" applyProtection="1">
      <alignment horizontal="center" vertical="center"/>
      <protection hidden="1"/>
    </xf>
    <xf numFmtId="0" fontId="5" fillId="31" borderId="55" xfId="0" applyFont="1" applyFill="1" applyBorder="1" applyAlignment="1" applyProtection="1">
      <alignment horizontal="center" vertical="center"/>
      <protection hidden="1"/>
    </xf>
    <xf numFmtId="174" fontId="5" fillId="31" borderId="40" xfId="0" applyNumberFormat="1" applyFont="1" applyFill="1" applyBorder="1" applyAlignment="1" applyProtection="1">
      <alignment horizontal="center" vertical="center" wrapText="1"/>
      <protection hidden="1"/>
    </xf>
    <xf numFmtId="174" fontId="5" fillId="31" borderId="31" xfId="0" applyNumberFormat="1" applyFont="1" applyFill="1" applyBorder="1" applyAlignment="1" applyProtection="1">
      <alignment horizontal="center" vertical="center" wrapText="1"/>
      <protection hidden="1"/>
    </xf>
    <xf numFmtId="174" fontId="5" fillId="31" borderId="9" xfId="0" applyNumberFormat="1" applyFont="1" applyFill="1" applyBorder="1" applyAlignment="1" applyProtection="1">
      <alignment horizontal="center" vertical="center" wrapText="1"/>
      <protection hidden="1"/>
    </xf>
    <xf numFmtId="174" fontId="5" fillId="31" borderId="11" xfId="0" applyNumberFormat="1" applyFont="1" applyFill="1" applyBorder="1" applyAlignment="1" applyProtection="1">
      <alignment horizontal="center" vertical="center" wrapText="1"/>
      <protection hidden="1"/>
    </xf>
    <xf numFmtId="174" fontId="5" fillId="31" borderId="44" xfId="0" applyNumberFormat="1" applyFont="1" applyFill="1" applyBorder="1" applyAlignment="1" applyProtection="1">
      <alignment horizontal="center" vertical="center" wrapText="1"/>
      <protection hidden="1"/>
    </xf>
    <xf numFmtId="174" fontId="5" fillId="31" borderId="55" xfId="0" applyNumberFormat="1" applyFont="1" applyFill="1" applyBorder="1" applyAlignment="1" applyProtection="1">
      <alignment horizontal="center" vertical="center" wrapText="1"/>
      <protection hidden="1"/>
    </xf>
    <xf numFmtId="166" fontId="5" fillId="31" borderId="39" xfId="0" applyNumberFormat="1" applyFont="1" applyFill="1" applyBorder="1" applyAlignment="1" applyProtection="1">
      <alignment horizontal="center" vertical="center"/>
      <protection hidden="1"/>
    </xf>
    <xf numFmtId="4" fontId="5" fillId="31" borderId="40" xfId="0" applyNumberFormat="1" applyFont="1" applyFill="1" applyBorder="1" applyAlignment="1" applyProtection="1">
      <alignment horizontal="center" vertical="center" wrapText="1"/>
      <protection hidden="1"/>
    </xf>
    <xf numFmtId="175" fontId="5" fillId="31" borderId="31" xfId="0" applyNumberFormat="1" applyFont="1" applyFill="1" applyBorder="1" applyAlignment="1" applyProtection="1">
      <alignment horizontal="center" vertical="center" wrapText="1"/>
      <protection hidden="1"/>
    </xf>
    <xf numFmtId="166" fontId="5" fillId="31" borderId="32" xfId="0" applyNumberFormat="1" applyFont="1" applyFill="1" applyBorder="1" applyAlignment="1" applyProtection="1">
      <alignment horizontal="center" vertical="center"/>
      <protection hidden="1"/>
    </xf>
    <xf numFmtId="4" fontId="5" fillId="31" borderId="9" xfId="0" applyNumberFormat="1" applyFont="1" applyFill="1" applyBorder="1" applyAlignment="1" applyProtection="1">
      <alignment horizontal="center" vertical="center" wrapText="1"/>
      <protection hidden="1"/>
    </xf>
    <xf numFmtId="0" fontId="50" fillId="31" borderId="11" xfId="0" applyFont="1" applyFill="1" applyBorder="1" applyAlignment="1" applyProtection="1">
      <alignment horizontal="center" vertical="center" wrapText="1"/>
      <protection hidden="1"/>
    </xf>
    <xf numFmtId="166" fontId="5" fillId="31" borderId="43" xfId="0" applyNumberFormat="1" applyFont="1" applyFill="1" applyBorder="1" applyAlignment="1" applyProtection="1">
      <alignment horizontal="center" vertical="center"/>
      <protection hidden="1"/>
    </xf>
    <xf numFmtId="4" fontId="5" fillId="31" borderId="44" xfId="0" applyNumberFormat="1" applyFont="1" applyFill="1" applyBorder="1" applyAlignment="1" applyProtection="1">
      <alignment horizontal="center" vertical="center" wrapText="1"/>
      <protection hidden="1"/>
    </xf>
    <xf numFmtId="0" fontId="50" fillId="31" borderId="55" xfId="0" applyFont="1" applyFill="1" applyBorder="1" applyAlignment="1" applyProtection="1">
      <alignment horizontal="center" vertical="center" wrapText="1"/>
      <protection hidden="1"/>
    </xf>
    <xf numFmtId="167" fontId="24" fillId="31" borderId="30" xfId="0" applyNumberFormat="1" applyFont="1" applyFill="1" applyBorder="1" applyAlignment="1">
      <alignment horizontal="center" vertical="center"/>
    </xf>
    <xf numFmtId="0" fontId="24" fillId="31" borderId="18" xfId="0" applyFont="1" applyFill="1" applyBorder="1" applyAlignment="1">
      <alignment horizontal="center" vertical="center"/>
    </xf>
    <xf numFmtId="2" fontId="24" fillId="31" borderId="18" xfId="0" applyNumberFormat="1" applyFont="1" applyFill="1" applyBorder="1" applyAlignment="1">
      <alignment horizontal="center" vertical="center"/>
    </xf>
    <xf numFmtId="0" fontId="24" fillId="31" borderId="36" xfId="0" applyFont="1" applyFill="1" applyBorder="1" applyAlignment="1">
      <alignment horizontal="center" vertical="center" wrapText="1"/>
    </xf>
    <xf numFmtId="0" fontId="24" fillId="31" borderId="32" xfId="0" applyFont="1" applyFill="1" applyBorder="1" applyAlignment="1">
      <alignment horizontal="center" vertical="center"/>
    </xf>
    <xf numFmtId="0" fontId="24" fillId="31" borderId="9" xfId="0" applyFont="1" applyFill="1" applyBorder="1" applyAlignment="1">
      <alignment horizontal="center" vertical="center"/>
    </xf>
    <xf numFmtId="166" fontId="24" fillId="31" borderId="9" xfId="0" applyNumberFormat="1" applyFont="1" applyFill="1" applyBorder="1" applyAlignment="1">
      <alignment horizontal="center" vertical="center"/>
    </xf>
    <xf numFmtId="0" fontId="60" fillId="31" borderId="34" xfId="0" applyFont="1" applyFill="1" applyBorder="1" applyAlignment="1">
      <alignment horizontal="center" vertical="center" wrapText="1"/>
    </xf>
    <xf numFmtId="0" fontId="24" fillId="31" borderId="43" xfId="0" applyFont="1" applyFill="1" applyBorder="1" applyAlignment="1">
      <alignment horizontal="center" vertical="center"/>
    </xf>
    <xf numFmtId="0" fontId="24" fillId="31" borderId="44" xfId="0" applyFont="1" applyFill="1" applyBorder="1" applyAlignment="1">
      <alignment horizontal="center" vertical="center"/>
    </xf>
    <xf numFmtId="2" fontId="24" fillId="31" borderId="44" xfId="0" applyNumberFormat="1" applyFont="1" applyFill="1" applyBorder="1" applyAlignment="1">
      <alignment horizontal="center" vertical="center"/>
    </xf>
    <xf numFmtId="0" fontId="60" fillId="31" borderId="37" xfId="0" applyFont="1" applyFill="1" applyBorder="1" applyAlignment="1">
      <alignment horizontal="center" vertical="center" wrapText="1"/>
    </xf>
    <xf numFmtId="167" fontId="24" fillId="14" borderId="39" xfId="0" applyNumberFormat="1" applyFont="1" applyFill="1" applyBorder="1" applyAlignment="1">
      <alignment horizontal="center" vertical="center"/>
    </xf>
    <xf numFmtId="0" fontId="24" fillId="14" borderId="40" xfId="0" applyFont="1" applyFill="1" applyBorder="1" applyAlignment="1">
      <alignment horizontal="center" vertical="center"/>
    </xf>
    <xf numFmtId="167" fontId="24" fillId="14" borderId="40" xfId="0" applyNumberFormat="1" applyFont="1" applyFill="1" applyBorder="1" applyAlignment="1">
      <alignment horizontal="center" vertical="center"/>
    </xf>
    <xf numFmtId="0" fontId="24" fillId="14" borderId="41" xfId="0" applyFont="1" applyFill="1" applyBorder="1" applyAlignment="1">
      <alignment horizontal="center" vertical="center" wrapText="1"/>
    </xf>
    <xf numFmtId="167" fontId="24" fillId="14" borderId="9" xfId="0" applyNumberFormat="1" applyFont="1" applyFill="1" applyBorder="1" applyAlignment="1">
      <alignment horizontal="center" vertical="center"/>
    </xf>
    <xf numFmtId="0" fontId="24" fillId="14" borderId="53" xfId="0" applyFont="1" applyFill="1" applyBorder="1" applyAlignment="1">
      <alignment horizontal="center" vertical="center"/>
    </xf>
    <xf numFmtId="0" fontId="24" fillId="14" borderId="39" xfId="0" applyFont="1" applyFill="1" applyBorder="1" applyAlignment="1">
      <alignment horizontal="center" vertical="center"/>
    </xf>
    <xf numFmtId="167" fontId="5" fillId="31" borderId="31" xfId="0" applyNumberFormat="1" applyFont="1" applyFill="1" applyBorder="1" applyAlignment="1" applyProtection="1">
      <alignment horizontal="center" vertical="center" wrapText="1"/>
      <protection hidden="1"/>
    </xf>
    <xf numFmtId="167" fontId="5" fillId="31" borderId="11" xfId="0" applyNumberFormat="1" applyFont="1" applyFill="1" applyBorder="1" applyAlignment="1" applyProtection="1">
      <alignment horizontal="center" vertical="center" wrapText="1"/>
      <protection hidden="1"/>
    </xf>
    <xf numFmtId="167" fontId="50" fillId="31" borderId="55" xfId="0" applyNumberFormat="1" applyFont="1" applyFill="1" applyBorder="1" applyAlignment="1" applyProtection="1">
      <alignment horizontal="center" vertical="center" wrapText="1"/>
      <protection hidden="1"/>
    </xf>
    <xf numFmtId="0" fontId="5" fillId="31" borderId="41" xfId="0" applyFont="1" applyFill="1" applyBorder="1" applyAlignment="1" applyProtection="1">
      <alignment horizontal="center" vertical="center" wrapText="1"/>
      <protection hidden="1"/>
    </xf>
    <xf numFmtId="0" fontId="50" fillId="31" borderId="34" xfId="0" applyFont="1" applyFill="1" applyBorder="1" applyAlignment="1" applyProtection="1">
      <alignment horizontal="center" vertical="center" wrapText="1"/>
      <protection hidden="1"/>
    </xf>
    <xf numFmtId="0" fontId="50" fillId="31" borderId="37" xfId="0" applyFont="1" applyFill="1" applyBorder="1" applyAlignment="1" applyProtection="1">
      <alignment horizontal="center" vertical="center" wrapText="1"/>
      <protection hidden="1"/>
    </xf>
    <xf numFmtId="0" fontId="5" fillId="31" borderId="31" xfId="0" applyFont="1" applyFill="1" applyBorder="1" applyAlignment="1" applyProtection="1">
      <alignment horizontal="center" vertical="center" wrapText="1"/>
      <protection hidden="1"/>
    </xf>
    <xf numFmtId="2" fontId="5" fillId="31" borderId="9" xfId="0" applyNumberFormat="1" applyFont="1" applyFill="1" applyBorder="1" applyAlignment="1" applyProtection="1">
      <alignment horizontal="center" vertical="center"/>
      <protection hidden="1"/>
    </xf>
    <xf numFmtId="167" fontId="5" fillId="31" borderId="41" xfId="0" applyNumberFormat="1" applyFont="1" applyFill="1" applyBorder="1" applyAlignment="1" applyProtection="1">
      <alignment horizontal="center" vertical="center" wrapText="1"/>
      <protection hidden="1"/>
    </xf>
    <xf numFmtId="167" fontId="5" fillId="31" borderId="34" xfId="0" applyNumberFormat="1" applyFont="1" applyFill="1" applyBorder="1" applyAlignment="1" applyProtection="1">
      <alignment horizontal="center" vertical="center" wrapText="1"/>
      <protection hidden="1"/>
    </xf>
    <xf numFmtId="167" fontId="5" fillId="31" borderId="37" xfId="0" applyNumberFormat="1" applyFont="1" applyFill="1" applyBorder="1" applyAlignment="1" applyProtection="1">
      <alignment horizontal="center" vertical="center" wrapText="1"/>
      <protection hidden="1"/>
    </xf>
    <xf numFmtId="0" fontId="5" fillId="31" borderId="34" xfId="0" applyFont="1" applyFill="1" applyBorder="1" applyAlignment="1" applyProtection="1">
      <alignment horizontal="center" vertical="center" wrapText="1"/>
      <protection hidden="1"/>
    </xf>
    <xf numFmtId="0" fontId="5" fillId="31" borderId="37" xfId="0" applyFont="1" applyFill="1" applyBorder="1" applyAlignment="1" applyProtection="1">
      <alignment horizontal="center" vertical="center" wrapText="1"/>
      <protection hidden="1"/>
    </xf>
    <xf numFmtId="166" fontId="5" fillId="31" borderId="30" xfId="0" applyNumberFormat="1" applyFont="1" applyFill="1" applyBorder="1" applyAlignment="1" applyProtection="1">
      <alignment horizontal="center" vertical="center"/>
      <protection hidden="1"/>
    </xf>
    <xf numFmtId="0" fontId="5" fillId="31" borderId="27" xfId="0" applyFont="1" applyFill="1" applyBorder="1" applyAlignment="1" applyProtection="1">
      <alignment horizontal="center" vertical="center" wrapText="1"/>
      <protection hidden="1"/>
    </xf>
    <xf numFmtId="2" fontId="5" fillId="31" borderId="40" xfId="0" applyNumberFormat="1" applyFont="1" applyFill="1" applyBorder="1" applyAlignment="1" applyProtection="1">
      <alignment horizontal="center" vertical="center" wrapText="1"/>
      <protection hidden="1"/>
    </xf>
    <xf numFmtId="165" fontId="5" fillId="31" borderId="40" xfId="0" applyNumberFormat="1" applyFont="1" applyFill="1" applyBorder="1" applyAlignment="1" applyProtection="1">
      <alignment horizontal="center" vertical="center" wrapText="1"/>
      <protection hidden="1"/>
    </xf>
    <xf numFmtId="165" fontId="5" fillId="31" borderId="9" xfId="0" applyNumberFormat="1" applyFont="1" applyFill="1" applyBorder="1" applyAlignment="1" applyProtection="1">
      <alignment horizontal="center" vertical="center" wrapText="1"/>
      <protection hidden="1"/>
    </xf>
    <xf numFmtId="166" fontId="5" fillId="31" borderId="44" xfId="0" applyNumberFormat="1" applyFont="1" applyFill="1" applyBorder="1" applyAlignment="1" applyProtection="1">
      <alignment horizontal="center" vertical="center" wrapText="1"/>
      <protection hidden="1"/>
    </xf>
    <xf numFmtId="165" fontId="5" fillId="31" borderId="44" xfId="0" applyNumberFormat="1" applyFont="1" applyFill="1" applyBorder="1" applyAlignment="1" applyProtection="1">
      <alignment horizontal="center" vertical="center" wrapText="1"/>
      <protection hidden="1"/>
    </xf>
    <xf numFmtId="14" fontId="5" fillId="31" borderId="41" xfId="0" applyNumberFormat="1" applyFont="1" applyFill="1" applyBorder="1" applyAlignment="1" applyProtection="1">
      <alignment horizontal="center" vertical="center"/>
      <protection hidden="1"/>
    </xf>
    <xf numFmtId="14" fontId="5" fillId="31" borderId="34" xfId="0" applyNumberFormat="1" applyFont="1" applyFill="1" applyBorder="1" applyAlignment="1" applyProtection="1">
      <alignment horizontal="center" vertical="center"/>
      <protection hidden="1"/>
    </xf>
    <xf numFmtId="14" fontId="5" fillId="31" borderId="37" xfId="0" applyNumberFormat="1" applyFont="1" applyFill="1" applyBorder="1" applyAlignment="1" applyProtection="1">
      <alignment horizontal="center" vertical="center"/>
      <protection hidden="1"/>
    </xf>
    <xf numFmtId="3" fontId="5" fillId="31" borderId="39" xfId="0" applyNumberFormat="1" applyFont="1" applyFill="1" applyBorder="1" applyAlignment="1" applyProtection="1">
      <alignment horizontal="center" vertical="center" wrapText="1"/>
      <protection hidden="1"/>
    </xf>
    <xf numFmtId="3" fontId="5" fillId="31" borderId="40" xfId="0" applyNumberFormat="1" applyFont="1" applyFill="1" applyBorder="1" applyAlignment="1" applyProtection="1">
      <alignment horizontal="center" vertical="center" wrapText="1"/>
      <protection hidden="1"/>
    </xf>
    <xf numFmtId="169" fontId="5" fillId="31" borderId="40" xfId="0" applyNumberFormat="1" applyFont="1" applyFill="1" applyBorder="1" applyAlignment="1" applyProtection="1">
      <alignment horizontal="center" vertical="center" wrapText="1"/>
      <protection hidden="1"/>
    </xf>
    <xf numFmtId="171" fontId="5" fillId="31" borderId="40" xfId="0" applyNumberFormat="1" applyFont="1" applyFill="1" applyBorder="1" applyAlignment="1" applyProtection="1">
      <alignment horizontal="center" vertical="center" wrapText="1"/>
      <protection hidden="1"/>
    </xf>
    <xf numFmtId="165" fontId="5" fillId="31" borderId="41" xfId="0" applyNumberFormat="1" applyFont="1" applyFill="1" applyBorder="1" applyAlignment="1" applyProtection="1">
      <alignment horizontal="center" vertical="center" wrapText="1"/>
      <protection hidden="1"/>
    </xf>
    <xf numFmtId="3" fontId="5" fillId="31" borderId="32" xfId="0" applyNumberFormat="1" applyFont="1" applyFill="1" applyBorder="1" applyAlignment="1" applyProtection="1">
      <alignment horizontal="center" vertical="center" wrapText="1"/>
      <protection hidden="1"/>
    </xf>
    <xf numFmtId="3" fontId="5" fillId="31" borderId="18" xfId="0" applyNumberFormat="1" applyFont="1" applyFill="1" applyBorder="1" applyAlignment="1" applyProtection="1">
      <alignment horizontal="center" vertical="center" wrapText="1"/>
      <protection hidden="1"/>
    </xf>
    <xf numFmtId="169" fontId="5" fillId="31" borderId="9" xfId="0" applyNumberFormat="1" applyFont="1" applyFill="1" applyBorder="1" applyAlignment="1" applyProtection="1">
      <alignment horizontal="center" vertical="center" wrapText="1"/>
      <protection hidden="1"/>
    </xf>
    <xf numFmtId="167" fontId="5" fillId="31" borderId="9" xfId="0" applyNumberFormat="1" applyFont="1" applyFill="1" applyBorder="1" applyAlignment="1" applyProtection="1">
      <alignment horizontal="center" vertical="center" wrapText="1"/>
      <protection hidden="1"/>
    </xf>
    <xf numFmtId="165" fontId="5" fillId="31" borderId="18" xfId="0" applyNumberFormat="1" applyFont="1" applyFill="1" applyBorder="1" applyAlignment="1" applyProtection="1">
      <alignment horizontal="center" vertical="center" wrapText="1"/>
      <protection hidden="1"/>
    </xf>
    <xf numFmtId="165" fontId="5" fillId="31" borderId="36" xfId="0" applyNumberFormat="1" applyFont="1" applyFill="1" applyBorder="1" applyAlignment="1" applyProtection="1">
      <alignment horizontal="center" vertical="center" wrapText="1"/>
      <protection hidden="1"/>
    </xf>
    <xf numFmtId="3" fontId="5" fillId="14" borderId="43" xfId="0" applyNumberFormat="1" applyFont="1" applyFill="1" applyBorder="1" applyAlignment="1" applyProtection="1">
      <alignment horizontal="center" vertical="center" wrapText="1"/>
      <protection hidden="1"/>
    </xf>
    <xf numFmtId="0" fontId="5" fillId="14" borderId="44" xfId="0" applyFont="1" applyFill="1" applyBorder="1" applyAlignment="1" applyProtection="1">
      <alignment horizontal="center" vertical="center" wrapText="1"/>
      <protection hidden="1"/>
    </xf>
    <xf numFmtId="3" fontId="5" fillId="14" borderId="44" xfId="0" applyNumberFormat="1" applyFont="1" applyFill="1" applyBorder="1" applyAlignment="1" applyProtection="1">
      <alignment horizontal="center" vertical="center" wrapText="1"/>
      <protection hidden="1"/>
    </xf>
    <xf numFmtId="165" fontId="5" fillId="14" borderId="53" xfId="0" applyNumberFormat="1" applyFont="1" applyFill="1" applyBorder="1" applyAlignment="1" applyProtection="1">
      <alignment horizontal="center" vertical="center" wrapText="1"/>
      <protection hidden="1"/>
    </xf>
    <xf numFmtId="165" fontId="5" fillId="14" borderId="78" xfId="0" applyNumberFormat="1" applyFont="1" applyFill="1" applyBorder="1" applyAlignment="1" applyProtection="1">
      <alignment horizontal="center" vertical="center" wrapText="1"/>
      <protection hidden="1"/>
    </xf>
    <xf numFmtId="0" fontId="50" fillId="31" borderId="40" xfId="0" applyFont="1" applyFill="1" applyBorder="1" applyAlignment="1" applyProtection="1">
      <alignment horizontal="center" vertical="center" wrapText="1"/>
      <protection hidden="1"/>
    </xf>
    <xf numFmtId="0" fontId="50" fillId="31" borderId="9" xfId="0" applyFont="1" applyFill="1" applyBorder="1" applyAlignment="1" applyProtection="1">
      <alignment horizontal="center" vertical="center" wrapText="1"/>
      <protection hidden="1"/>
    </xf>
    <xf numFmtId="0" fontId="50" fillId="31" borderId="44" xfId="0" applyFont="1" applyFill="1" applyBorder="1" applyAlignment="1" applyProtection="1">
      <alignment horizontal="center" vertical="center" wrapText="1"/>
      <protection hidden="1"/>
    </xf>
    <xf numFmtId="0" fontId="50" fillId="31" borderId="44" xfId="0" applyFont="1" applyFill="1" applyBorder="1" applyAlignment="1" applyProtection="1">
      <alignment vertical="center" wrapText="1"/>
      <protection hidden="1"/>
    </xf>
    <xf numFmtId="174" fontId="50" fillId="31" borderId="9" xfId="0" applyNumberFormat="1" applyFont="1" applyFill="1" applyBorder="1" applyAlignment="1" applyProtection="1">
      <alignment horizontal="center" vertical="center" wrapText="1"/>
      <protection hidden="1"/>
    </xf>
    <xf numFmtId="4" fontId="50" fillId="31" borderId="9" xfId="0" applyNumberFormat="1" applyFont="1" applyFill="1" applyBorder="1" applyAlignment="1" applyProtection="1">
      <alignment horizontal="center" vertical="center" wrapText="1"/>
      <protection hidden="1"/>
    </xf>
    <xf numFmtId="0" fontId="50" fillId="31" borderId="12" xfId="0" applyFont="1" applyFill="1" applyBorder="1" applyAlignment="1" applyProtection="1">
      <alignment horizontal="center" vertical="center" wrapText="1"/>
      <protection hidden="1"/>
    </xf>
    <xf numFmtId="0" fontId="50" fillId="31" borderId="12" xfId="0" applyFont="1" applyFill="1" applyBorder="1" applyAlignment="1" applyProtection="1">
      <alignment vertical="center" wrapText="1"/>
      <protection hidden="1"/>
    </xf>
    <xf numFmtId="0" fontId="5" fillId="31" borderId="18" xfId="0" applyFont="1" applyFill="1" applyBorder="1" applyAlignment="1" applyProtection="1">
      <alignment horizontal="center" vertical="center" wrapText="1"/>
      <protection hidden="1"/>
    </xf>
    <xf numFmtId="0" fontId="50" fillId="31" borderId="18" xfId="0" applyFont="1" applyFill="1" applyBorder="1" applyAlignment="1" applyProtection="1">
      <alignment horizontal="center" vertical="center" wrapText="1"/>
      <protection hidden="1"/>
    </xf>
    <xf numFmtId="0" fontId="11" fillId="24" borderId="6" xfId="6" applyFont="1" applyBorder="1" applyAlignment="1" applyProtection="1">
      <alignment horizontal="center" vertical="center"/>
      <protection locked="0" hidden="1"/>
    </xf>
    <xf numFmtId="166" fontId="7" fillId="6" borderId="9" xfId="0" applyNumberFormat="1" applyFont="1" applyFill="1" applyBorder="1" applyAlignment="1" applyProtection="1">
      <alignment horizontal="center" vertical="center"/>
      <protection locked="0" hidden="1"/>
    </xf>
    <xf numFmtId="166" fontId="6" fillId="5" borderId="37" xfId="0" applyNumberFormat="1" applyFont="1" applyFill="1" applyBorder="1" applyAlignment="1" applyProtection="1">
      <alignment horizontal="center" vertical="center" wrapText="1"/>
      <protection hidden="1"/>
    </xf>
    <xf numFmtId="0" fontId="11" fillId="24" borderId="8" xfId="6" applyFont="1" applyBorder="1" applyAlignment="1" applyProtection="1">
      <alignment horizontal="center" vertical="center"/>
      <protection locked="0" hidden="1"/>
    </xf>
    <xf numFmtId="166" fontId="7" fillId="6" borderId="18" xfId="0" applyNumberFormat="1" applyFont="1" applyFill="1" applyBorder="1" applyAlignment="1" applyProtection="1">
      <alignment horizontal="center" vertical="center"/>
      <protection locked="0" hidden="1"/>
    </xf>
    <xf numFmtId="166" fontId="7" fillId="7" borderId="18" xfId="0" applyNumberFormat="1" applyFont="1" applyFill="1" applyBorder="1" applyAlignment="1" applyProtection="1">
      <alignment horizontal="center" vertical="center"/>
      <protection hidden="1"/>
    </xf>
    <xf numFmtId="1" fontId="7" fillId="6" borderId="18" xfId="0" applyNumberFormat="1" applyFont="1" applyFill="1" applyBorder="1" applyAlignment="1" applyProtection="1">
      <alignment horizontal="center" vertical="center"/>
      <protection locked="0" hidden="1"/>
    </xf>
    <xf numFmtId="1" fontId="7" fillId="6" borderId="18" xfId="0" applyNumberFormat="1" applyFont="1" applyFill="1" applyBorder="1" applyAlignment="1" applyProtection="1">
      <alignment horizontal="center" vertical="center" wrapText="1"/>
      <protection locked="0" hidden="1"/>
    </xf>
    <xf numFmtId="1" fontId="7" fillId="7" borderId="36" xfId="0" applyNumberFormat="1" applyFont="1" applyFill="1" applyBorder="1" applyAlignment="1" applyProtection="1">
      <alignment horizontal="center" vertical="center" wrapText="1"/>
      <protection hidden="1"/>
    </xf>
    <xf numFmtId="0" fontId="7" fillId="6" borderId="18" xfId="0" applyFont="1" applyFill="1" applyBorder="1" applyAlignment="1" applyProtection="1">
      <alignment horizontal="center" vertical="center"/>
      <protection locked="0" hidden="1"/>
    </xf>
    <xf numFmtId="0" fontId="7" fillId="6" borderId="18" xfId="0" applyFont="1" applyFill="1" applyBorder="1" applyAlignment="1" applyProtection="1">
      <alignment horizontal="center" vertical="center" wrapText="1"/>
      <protection locked="0" hidden="1"/>
    </xf>
    <xf numFmtId="1" fontId="7" fillId="7" borderId="18" xfId="0" applyNumberFormat="1" applyFont="1" applyFill="1" applyBorder="1" applyAlignment="1" applyProtection="1">
      <alignment horizontal="center" vertical="center" wrapText="1"/>
      <protection hidden="1"/>
    </xf>
    <xf numFmtId="0" fontId="7" fillId="6" borderId="36" xfId="0" applyFont="1" applyFill="1" applyBorder="1" applyAlignment="1" applyProtection="1">
      <alignment horizontal="center" vertical="center" wrapText="1"/>
      <protection locked="0" hidden="1"/>
    </xf>
    <xf numFmtId="0" fontId="7" fillId="7" borderId="4" xfId="0" applyFont="1" applyFill="1" applyBorder="1" applyAlignment="1" applyProtection="1">
      <alignment vertical="center" wrapText="1"/>
      <protection hidden="1"/>
    </xf>
    <xf numFmtId="0" fontId="7" fillId="7" borderId="49" xfId="0" applyFont="1" applyFill="1" applyBorder="1" applyAlignment="1" applyProtection="1">
      <alignment vertical="center" wrapText="1"/>
      <protection hidden="1"/>
    </xf>
    <xf numFmtId="0" fontId="7" fillId="7" borderId="38" xfId="0" applyFont="1" applyFill="1" applyBorder="1" applyAlignment="1" applyProtection="1">
      <alignment vertical="center" wrapText="1"/>
      <protection hidden="1"/>
    </xf>
    <xf numFmtId="0" fontId="7" fillId="7" borderId="0" xfId="0" applyFont="1" applyFill="1" applyBorder="1" applyAlignment="1" applyProtection="1">
      <alignment vertical="center" wrapText="1"/>
      <protection hidden="1"/>
    </xf>
    <xf numFmtId="0" fontId="7" fillId="7" borderId="3" xfId="0" applyFont="1" applyFill="1" applyBorder="1" applyAlignment="1" applyProtection="1">
      <alignment vertical="center" wrapText="1"/>
      <protection hidden="1"/>
    </xf>
    <xf numFmtId="0" fontId="7" fillId="7" borderId="5" xfId="0" applyFont="1" applyFill="1" applyBorder="1" applyAlignment="1" applyProtection="1">
      <alignment vertical="center" wrapText="1"/>
      <protection hidden="1"/>
    </xf>
    <xf numFmtId="0" fontId="7" fillId="7" borderId="58" xfId="0" applyFont="1" applyFill="1" applyBorder="1" applyAlignment="1" applyProtection="1">
      <alignment horizontal="center" vertical="center" wrapText="1"/>
      <protection hidden="1"/>
    </xf>
    <xf numFmtId="167" fontId="5" fillId="7" borderId="35" xfId="0" applyNumberFormat="1" applyFont="1" applyFill="1" applyBorder="1" applyAlignment="1" applyProtection="1">
      <alignment horizontal="center" vertical="center" wrapText="1"/>
      <protection hidden="1"/>
    </xf>
    <xf numFmtId="0" fontId="7" fillId="7" borderId="35" xfId="0" applyFont="1" applyFill="1" applyBorder="1" applyAlignment="1" applyProtection="1">
      <alignment horizontal="center" vertical="center" wrapText="1"/>
      <protection hidden="1"/>
    </xf>
    <xf numFmtId="0" fontId="5" fillId="7" borderId="56" xfId="0" applyFont="1" applyFill="1" applyBorder="1" applyAlignment="1" applyProtection="1">
      <alignment horizontal="center" vertical="center" wrapText="1"/>
      <protection hidden="1"/>
    </xf>
    <xf numFmtId="0" fontId="6" fillId="7" borderId="68" xfId="0" applyFont="1" applyFill="1" applyBorder="1" applyAlignment="1" applyProtection="1">
      <alignment horizontal="center" vertical="center" wrapText="1"/>
      <protection hidden="1"/>
    </xf>
    <xf numFmtId="167" fontId="6" fillId="7" borderId="66" xfId="0" applyNumberFormat="1" applyFont="1" applyFill="1" applyBorder="1" applyAlignment="1" applyProtection="1">
      <alignment horizontal="center" vertical="center" wrapText="1"/>
      <protection hidden="1"/>
    </xf>
    <xf numFmtId="2" fontId="6" fillId="7" borderId="69" xfId="0" applyNumberFormat="1" applyFont="1" applyFill="1" applyBorder="1" applyAlignment="1" applyProtection="1">
      <alignment horizontal="center" vertical="center" wrapText="1"/>
      <protection hidden="1"/>
    </xf>
    <xf numFmtId="0" fontId="6" fillId="18" borderId="20" xfId="0" applyFont="1" applyFill="1" applyBorder="1" applyAlignment="1" applyProtection="1">
      <alignment horizontal="center" vertical="center" wrapText="1"/>
      <protection hidden="1"/>
    </xf>
    <xf numFmtId="166" fontId="7" fillId="7" borderId="62" xfId="0" applyNumberFormat="1" applyFont="1" applyFill="1" applyBorder="1" applyAlignment="1" applyProtection="1">
      <alignment horizontal="center" vertical="center" wrapText="1"/>
      <protection hidden="1"/>
    </xf>
    <xf numFmtId="0" fontId="7" fillId="7" borderId="44" xfId="0" applyFont="1" applyFill="1" applyBorder="1" applyAlignment="1" applyProtection="1">
      <alignment horizontal="center" vertical="center" wrapText="1"/>
      <protection hidden="1"/>
    </xf>
    <xf numFmtId="166" fontId="7" fillId="12" borderId="14" xfId="0" applyNumberFormat="1" applyFont="1" applyFill="1" applyBorder="1" applyAlignment="1" applyProtection="1">
      <alignment horizontal="center" vertical="center" wrapText="1"/>
      <protection hidden="1"/>
    </xf>
    <xf numFmtId="2" fontId="5" fillId="31" borderId="40" xfId="0" applyNumberFormat="1" applyFont="1" applyFill="1" applyBorder="1" applyAlignment="1" applyProtection="1">
      <alignment horizontal="center" vertical="center"/>
      <protection hidden="1"/>
    </xf>
    <xf numFmtId="2" fontId="5" fillId="31" borderId="41" xfId="0" applyNumberFormat="1" applyFont="1" applyFill="1" applyBorder="1" applyAlignment="1" applyProtection="1">
      <alignment horizontal="center" vertical="center"/>
      <protection hidden="1"/>
    </xf>
    <xf numFmtId="14" fontId="3" fillId="31" borderId="40" xfId="0" applyNumberFormat="1" applyFont="1" applyFill="1" applyBorder="1" applyAlignment="1" applyProtection="1">
      <alignment horizontal="center" vertical="center"/>
      <protection hidden="1"/>
    </xf>
    <xf numFmtId="165" fontId="5" fillId="31" borderId="40" xfId="0" applyNumberFormat="1" applyFont="1" applyFill="1" applyBorder="1" applyAlignment="1" applyProtection="1">
      <alignment horizontal="center" vertical="center"/>
      <protection hidden="1"/>
    </xf>
    <xf numFmtId="2" fontId="5" fillId="31" borderId="44" xfId="0" applyNumberFormat="1" applyFont="1" applyFill="1" applyBorder="1" applyAlignment="1" applyProtection="1">
      <alignment horizontal="center" vertical="center"/>
      <protection hidden="1"/>
    </xf>
    <xf numFmtId="167" fontId="3" fillId="31" borderId="40" xfId="0" applyNumberFormat="1" applyFont="1" applyFill="1" applyBorder="1" applyAlignment="1" applyProtection="1">
      <alignment horizontal="center" vertical="center"/>
      <protection hidden="1"/>
    </xf>
    <xf numFmtId="2" fontId="5" fillId="0" borderId="0" xfId="0" applyNumberFormat="1" applyFont="1" applyBorder="1" applyProtection="1">
      <protection hidden="1"/>
    </xf>
    <xf numFmtId="14" fontId="3" fillId="31" borderId="44" xfId="0" applyNumberFormat="1" applyFont="1" applyFill="1" applyBorder="1" applyAlignment="1" applyProtection="1">
      <alignment horizontal="center" vertical="center"/>
      <protection hidden="1"/>
    </xf>
    <xf numFmtId="2" fontId="5" fillId="31" borderId="37" xfId="0" applyNumberFormat="1" applyFont="1" applyFill="1" applyBorder="1" applyAlignment="1" applyProtection="1">
      <alignment horizontal="center" vertical="center"/>
      <protection hidden="1"/>
    </xf>
    <xf numFmtId="0" fontId="5" fillId="0" borderId="2" xfId="0" applyFont="1" applyFill="1" applyBorder="1" applyProtection="1">
      <protection hidden="1"/>
    </xf>
    <xf numFmtId="0" fontId="5" fillId="0" borderId="3" xfId="0" applyFont="1" applyBorder="1" applyProtection="1">
      <protection hidden="1"/>
    </xf>
    <xf numFmtId="169" fontId="5" fillId="0" borderId="3" xfId="0" applyNumberFormat="1" applyFont="1" applyBorder="1" applyProtection="1">
      <protection hidden="1"/>
    </xf>
    <xf numFmtId="0" fontId="5" fillId="0" borderId="3" xfId="0" applyFont="1" applyFill="1" applyBorder="1" applyProtection="1">
      <protection hidden="1"/>
    </xf>
    <xf numFmtId="0" fontId="5" fillId="0" borderId="4" xfId="0" applyFont="1" applyBorder="1" applyAlignment="1" applyProtection="1">
      <alignment horizontal="center" vertical="center"/>
      <protection hidden="1"/>
    </xf>
    <xf numFmtId="167" fontId="7" fillId="7" borderId="40" xfId="0" applyNumberFormat="1" applyFont="1" applyFill="1" applyBorder="1" applyAlignment="1" applyProtection="1">
      <alignment horizontal="center" vertical="center" wrapText="1"/>
      <protection hidden="1"/>
    </xf>
    <xf numFmtId="0" fontId="6" fillId="5" borderId="43" xfId="0" applyFont="1" applyFill="1" applyBorder="1" applyAlignment="1" applyProtection="1">
      <alignment horizontal="center" vertical="center" wrapText="1"/>
      <protection hidden="1"/>
    </xf>
    <xf numFmtId="0" fontId="37" fillId="5" borderId="1" xfId="0" applyFont="1" applyFill="1" applyBorder="1" applyAlignment="1" applyProtection="1">
      <alignment horizontal="center" vertical="center" wrapText="1"/>
      <protection hidden="1"/>
    </xf>
    <xf numFmtId="2" fontId="6" fillId="7" borderId="51" xfId="0" applyNumberFormat="1" applyFont="1" applyFill="1" applyBorder="1" applyAlignment="1" applyProtection="1">
      <alignment horizontal="center" vertical="center" wrapText="1"/>
      <protection hidden="1"/>
    </xf>
    <xf numFmtId="2" fontId="6" fillId="7" borderId="65" xfId="0" applyNumberFormat="1" applyFont="1" applyFill="1" applyBorder="1" applyAlignment="1" applyProtection="1">
      <alignment horizontal="center" vertical="center"/>
      <protection hidden="1"/>
    </xf>
    <xf numFmtId="2" fontId="37" fillId="7" borderId="40" xfId="0" applyNumberFormat="1" applyFont="1" applyFill="1" applyBorder="1" applyAlignment="1" applyProtection="1">
      <alignment horizontal="center" vertical="center" wrapText="1"/>
      <protection hidden="1"/>
    </xf>
    <xf numFmtId="2" fontId="7" fillId="12" borderId="34" xfId="0" applyNumberFormat="1" applyFont="1" applyFill="1" applyBorder="1" applyAlignment="1" applyProtection="1">
      <alignment horizontal="center" vertical="center" wrapText="1"/>
      <protection hidden="1"/>
    </xf>
    <xf numFmtId="167" fontId="7" fillId="7" borderId="40" xfId="0" applyNumberFormat="1" applyFont="1" applyFill="1" applyBorder="1" applyAlignment="1" applyProtection="1">
      <alignment horizontal="center" vertical="center" wrapText="1"/>
      <protection hidden="1"/>
    </xf>
    <xf numFmtId="167" fontId="7" fillId="7" borderId="9" xfId="0" applyNumberFormat="1" applyFont="1" applyFill="1" applyBorder="1" applyAlignment="1" applyProtection="1">
      <alignment horizontal="center" vertical="center" wrapText="1"/>
      <protection hidden="1"/>
    </xf>
    <xf numFmtId="167" fontId="7" fillId="7" borderId="44" xfId="0" applyNumberFormat="1" applyFont="1" applyFill="1" applyBorder="1" applyAlignment="1" applyProtection="1">
      <alignment horizontal="center" vertical="center" wrapText="1"/>
      <protection hidden="1"/>
    </xf>
    <xf numFmtId="0" fontId="6" fillId="2" borderId="71" xfId="0" applyFont="1" applyFill="1" applyBorder="1" applyAlignment="1" applyProtection="1">
      <alignment horizontal="center" vertical="center" wrapText="1"/>
      <protection hidden="1"/>
    </xf>
    <xf numFmtId="0" fontId="37" fillId="5" borderId="82" xfId="0" applyFont="1" applyFill="1" applyBorder="1" applyAlignment="1" applyProtection="1">
      <alignment horizontal="center" vertical="center" wrapText="1"/>
      <protection hidden="1"/>
    </xf>
    <xf numFmtId="0" fontId="37" fillId="5" borderId="67" xfId="0" applyFont="1" applyFill="1" applyBorder="1" applyAlignment="1" applyProtection="1">
      <alignment horizontal="center" vertical="center" wrapText="1"/>
      <protection hidden="1"/>
    </xf>
    <xf numFmtId="0" fontId="37" fillId="5" borderId="73" xfId="0" applyFont="1" applyFill="1" applyBorder="1" applyAlignment="1" applyProtection="1">
      <alignment horizontal="center" vertical="center" wrapText="1"/>
      <protection hidden="1"/>
    </xf>
    <xf numFmtId="0" fontId="3" fillId="0" borderId="0" xfId="0" applyFont="1"/>
    <xf numFmtId="0" fontId="3" fillId="0" borderId="0" xfId="0" applyFont="1" applyBorder="1" applyAlignment="1">
      <alignment wrapText="1"/>
    </xf>
    <xf numFmtId="0" fontId="3" fillId="0" borderId="0" xfId="0" applyFont="1" applyBorder="1"/>
    <xf numFmtId="0" fontId="3" fillId="0" borderId="0" xfId="0" applyFont="1" applyBorder="1" applyAlignment="1">
      <alignment horizontal="center" wrapText="1"/>
    </xf>
    <xf numFmtId="0" fontId="3" fillId="0" borderId="0" xfId="0" applyFont="1" applyFill="1" applyBorder="1" applyAlignment="1">
      <alignment horizontal="center"/>
    </xf>
    <xf numFmtId="0" fontId="3" fillId="32" borderId="34" xfId="0" applyFont="1" applyFill="1" applyBorder="1" applyAlignment="1">
      <alignment horizontal="center"/>
    </xf>
    <xf numFmtId="0" fontId="3" fillId="32" borderId="37" xfId="0" applyFont="1" applyFill="1" applyBorder="1" applyAlignment="1">
      <alignment horizontal="center"/>
    </xf>
    <xf numFmtId="164" fontId="3" fillId="32" borderId="32" xfId="0" applyNumberFormat="1" applyFont="1" applyFill="1" applyBorder="1" applyAlignment="1">
      <alignment horizontal="center"/>
    </xf>
    <xf numFmtId="2" fontId="3" fillId="32" borderId="43" xfId="0" applyNumberFormat="1" applyFont="1" applyFill="1" applyBorder="1" applyAlignment="1">
      <alignment horizontal="center"/>
    </xf>
    <xf numFmtId="0" fontId="3" fillId="32" borderId="36" xfId="0" applyFont="1" applyFill="1" applyBorder="1" applyAlignment="1">
      <alignment horizontal="center"/>
    </xf>
    <xf numFmtId="164" fontId="3" fillId="32" borderId="30" xfId="0" applyNumberFormat="1" applyFont="1" applyFill="1" applyBorder="1" applyAlignment="1">
      <alignment horizontal="center"/>
    </xf>
    <xf numFmtId="0" fontId="6" fillId="5" borderId="29" xfId="0" applyFont="1" applyFill="1" applyBorder="1" applyAlignment="1">
      <alignment horizontal="center" vertical="center"/>
    </xf>
    <xf numFmtId="0" fontId="6" fillId="5" borderId="67" xfId="0" applyFont="1" applyFill="1" applyBorder="1" applyAlignment="1">
      <alignment horizontal="center" vertical="center" wrapText="1"/>
    </xf>
    <xf numFmtId="0" fontId="6" fillId="5" borderId="67" xfId="0" applyFont="1" applyFill="1" applyBorder="1" applyAlignment="1">
      <alignment horizontal="center" vertical="center"/>
    </xf>
    <xf numFmtId="0" fontId="6" fillId="5" borderId="72" xfId="0" applyFont="1" applyFill="1" applyBorder="1" applyAlignment="1">
      <alignment horizontal="center" vertical="center"/>
    </xf>
    <xf numFmtId="0" fontId="7" fillId="2" borderId="10" xfId="0" applyFont="1" applyFill="1" applyBorder="1" applyAlignment="1" applyProtection="1">
      <alignment vertical="center" wrapText="1"/>
      <protection locked="0" hidden="1"/>
    </xf>
    <xf numFmtId="0" fontId="7" fillId="2" borderId="49" xfId="0" applyFont="1" applyFill="1" applyBorder="1" applyAlignment="1" applyProtection="1">
      <alignment vertical="center" wrapText="1"/>
      <protection locked="0" hidden="1"/>
    </xf>
    <xf numFmtId="0" fontId="7" fillId="2" borderId="47" xfId="0" applyFont="1" applyFill="1" applyBorder="1" applyAlignment="1" applyProtection="1">
      <alignment vertical="center" wrapText="1"/>
      <protection locked="0" hidden="1"/>
    </xf>
    <xf numFmtId="0" fontId="7" fillId="2" borderId="5" xfId="0" applyFont="1" applyFill="1" applyBorder="1" applyAlignment="1" applyProtection="1">
      <alignment vertical="center" wrapText="1"/>
      <protection locked="0" hidden="1"/>
    </xf>
    <xf numFmtId="0" fontId="7" fillId="2" borderId="38" xfId="0" applyFont="1" applyFill="1" applyBorder="1" applyAlignment="1" applyProtection="1">
      <alignment vertical="center" wrapText="1"/>
      <protection locked="0" hidden="1"/>
    </xf>
    <xf numFmtId="0" fontId="14" fillId="16" borderId="71" xfId="0" applyFont="1" applyFill="1" applyBorder="1" applyAlignment="1" applyProtection="1">
      <alignment horizontal="center" vertical="center" wrapText="1"/>
      <protection hidden="1"/>
    </xf>
    <xf numFmtId="167" fontId="5" fillId="0" borderId="9" xfId="0" applyNumberFormat="1" applyFont="1" applyBorder="1" applyAlignment="1" applyProtection="1">
      <alignment horizontal="center" vertical="center"/>
      <protection hidden="1"/>
    </xf>
    <xf numFmtId="167" fontId="5" fillId="0" borderId="34" xfId="0" applyNumberFormat="1" applyFont="1" applyBorder="1" applyAlignment="1" applyProtection="1">
      <alignment horizontal="center" vertical="center"/>
      <protection hidden="1"/>
    </xf>
    <xf numFmtId="167" fontId="5" fillId="0" borderId="44" xfId="0" applyNumberFormat="1" applyFont="1" applyFill="1" applyBorder="1" applyAlignment="1" applyProtection="1">
      <alignment horizontal="center" vertical="center"/>
      <protection hidden="1"/>
    </xf>
    <xf numFmtId="167" fontId="14" fillId="7" borderId="41" xfId="0" applyNumberFormat="1" applyFont="1" applyFill="1" applyBorder="1" applyAlignment="1" applyProtection="1">
      <alignment horizontal="center" vertical="center" wrapText="1"/>
      <protection hidden="1"/>
    </xf>
    <xf numFmtId="167" fontId="14" fillId="7" borderId="34" xfId="0" applyNumberFormat="1" applyFont="1" applyFill="1" applyBorder="1" applyAlignment="1" applyProtection="1">
      <alignment horizontal="center" vertical="center" wrapText="1"/>
      <protection hidden="1"/>
    </xf>
    <xf numFmtId="167" fontId="14" fillId="7" borderId="37" xfId="0" applyNumberFormat="1" applyFont="1" applyFill="1" applyBorder="1" applyAlignment="1" applyProtection="1">
      <alignment horizontal="center" vertical="center" wrapText="1"/>
      <protection hidden="1"/>
    </xf>
    <xf numFmtId="0" fontId="6" fillId="7" borderId="71" xfId="0" applyFont="1" applyFill="1" applyBorder="1" applyAlignment="1" applyProtection="1">
      <alignment horizontal="center" vertical="center" wrapText="1"/>
      <protection hidden="1"/>
    </xf>
    <xf numFmtId="0" fontId="6" fillId="7" borderId="1" xfId="0" applyFont="1" applyFill="1" applyBorder="1" applyAlignment="1" applyProtection="1">
      <alignment horizontal="center" vertical="center" wrapText="1"/>
      <protection hidden="1"/>
    </xf>
    <xf numFmtId="0" fontId="2" fillId="5" borderId="9" xfId="0" applyFont="1" applyFill="1" applyBorder="1" applyAlignment="1" applyProtection="1">
      <alignment horizontal="center" vertical="center" wrapText="1"/>
      <protection hidden="1"/>
    </xf>
    <xf numFmtId="0" fontId="62" fillId="0" borderId="0" xfId="0" applyFont="1" applyProtection="1">
      <protection hidden="1"/>
    </xf>
    <xf numFmtId="0" fontId="14" fillId="0" borderId="0" xfId="0" applyFont="1" applyAlignment="1" applyProtection="1">
      <alignment horizontal="right"/>
      <protection hidden="1"/>
    </xf>
    <xf numFmtId="0" fontId="14" fillId="0" borderId="0" xfId="0" applyFont="1" applyAlignment="1" applyProtection="1">
      <protection hidden="1"/>
    </xf>
    <xf numFmtId="0" fontId="63" fillId="0" borderId="0" xfId="0" applyFont="1" applyBorder="1" applyAlignment="1" applyProtection="1">
      <alignment vertical="center" wrapText="1"/>
      <protection hidden="1"/>
    </xf>
    <xf numFmtId="0" fontId="62" fillId="0" borderId="0" xfId="0" applyFont="1" applyAlignment="1" applyProtection="1">
      <alignment horizontal="center" vertical="center" wrapText="1"/>
      <protection hidden="1"/>
    </xf>
    <xf numFmtId="0" fontId="63" fillId="0" borderId="0" xfId="0" applyFont="1" applyBorder="1" applyAlignment="1" applyProtection="1">
      <alignment horizontal="left" vertical="center" wrapText="1"/>
      <protection hidden="1"/>
    </xf>
    <xf numFmtId="0" fontId="62" fillId="0" borderId="0" xfId="0" applyFont="1" applyBorder="1" applyAlignment="1" applyProtection="1">
      <alignment vertical="center" wrapText="1"/>
      <protection hidden="1"/>
    </xf>
    <xf numFmtId="0" fontId="62" fillId="0" borderId="0" xfId="0" applyFont="1" applyBorder="1" applyProtection="1">
      <protection hidden="1"/>
    </xf>
    <xf numFmtId="0" fontId="37" fillId="0" borderId="0" xfId="0" applyFont="1" applyAlignment="1" applyProtection="1">
      <alignment horizontal="center" vertical="center" wrapText="1"/>
      <protection hidden="1"/>
    </xf>
    <xf numFmtId="0" fontId="37" fillId="0" borderId="0" xfId="0" applyFont="1" applyProtection="1">
      <protection hidden="1"/>
    </xf>
    <xf numFmtId="0" fontId="37" fillId="0" borderId="0" xfId="0" applyFont="1" applyBorder="1" applyProtection="1">
      <protection hidden="1"/>
    </xf>
    <xf numFmtId="0" fontId="37" fillId="2" borderId="0" xfId="0" applyFont="1" applyFill="1" applyAlignment="1" applyProtection="1">
      <alignment vertical="center" wrapText="1"/>
      <protection hidden="1"/>
    </xf>
    <xf numFmtId="0" fontId="37" fillId="0" borderId="0" xfId="0" applyFont="1" applyAlignment="1" applyProtection="1">
      <alignment vertical="center" wrapText="1"/>
      <protection hidden="1"/>
    </xf>
    <xf numFmtId="0" fontId="62" fillId="0" borderId="0" xfId="0" applyFont="1" applyBorder="1" applyAlignment="1" applyProtection="1">
      <protection hidden="1"/>
    </xf>
    <xf numFmtId="0" fontId="37" fillId="0" borderId="0" xfId="0" applyFont="1" applyBorder="1" applyAlignment="1" applyProtection="1">
      <protection hidden="1"/>
    </xf>
    <xf numFmtId="0" fontId="14" fillId="0" borderId="0" xfId="0" applyFont="1" applyAlignment="1" applyProtection="1">
      <alignment vertical="center"/>
      <protection hidden="1"/>
    </xf>
    <xf numFmtId="0" fontId="37" fillId="0" borderId="0" xfId="0" applyFont="1" applyAlignment="1" applyProtection="1">
      <alignment horizontal="justify" vertical="justify" wrapText="1"/>
      <protection hidden="1"/>
    </xf>
    <xf numFmtId="0" fontId="62" fillId="0" borderId="0" xfId="0" applyFont="1" applyAlignment="1" applyProtection="1">
      <alignment vertical="justify" wrapText="1"/>
      <protection hidden="1"/>
    </xf>
    <xf numFmtId="1" fontId="14" fillId="0" borderId="0" xfId="0" applyNumberFormat="1" applyFont="1" applyAlignment="1" applyProtection="1">
      <protection hidden="1"/>
    </xf>
    <xf numFmtId="1" fontId="14" fillId="0" borderId="0" xfId="0" applyNumberFormat="1" applyFont="1" applyAlignment="1" applyProtection="1">
      <alignment horizontal="center"/>
      <protection hidden="1"/>
    </xf>
    <xf numFmtId="0" fontId="65" fillId="0" borderId="0" xfId="0" applyFont="1" applyAlignment="1" applyProtection="1">
      <alignment horizontal="left" vertical="center" wrapText="1"/>
      <protection hidden="1"/>
    </xf>
    <xf numFmtId="0" fontId="65" fillId="0" borderId="0" xfId="0" applyFont="1" applyAlignment="1" applyProtection="1">
      <alignment horizontal="justify" vertical="justify" wrapText="1"/>
      <protection hidden="1"/>
    </xf>
    <xf numFmtId="0" fontId="65" fillId="0" borderId="0" xfId="0" applyFont="1" applyProtection="1">
      <protection hidden="1"/>
    </xf>
    <xf numFmtId="0" fontId="66" fillId="0" borderId="0" xfId="0" applyFont="1" applyAlignment="1" applyProtection="1">
      <alignment horizontal="justify" vertical="center"/>
      <protection hidden="1"/>
    </xf>
    <xf numFmtId="0" fontId="67" fillId="0" borderId="0" xfId="0" applyFont="1" applyAlignment="1" applyProtection="1">
      <alignment horizontal="center"/>
      <protection hidden="1"/>
    </xf>
    <xf numFmtId="0" fontId="68" fillId="0" borderId="0" xfId="0" applyFont="1" applyBorder="1" applyAlignment="1" applyProtection="1">
      <alignment horizontal="center" vertical="center" wrapText="1"/>
      <protection hidden="1"/>
    </xf>
    <xf numFmtId="0" fontId="14" fillId="0" borderId="0" xfId="0" applyFont="1" applyBorder="1" applyAlignment="1" applyProtection="1">
      <alignment horizontal="justify" vertical="center" wrapText="1"/>
      <protection hidden="1"/>
    </xf>
    <xf numFmtId="0" fontId="62" fillId="0" borderId="0" xfId="0" applyFont="1" applyAlignment="1" applyProtection="1">
      <alignment horizontal="justify" vertical="center" wrapText="1"/>
      <protection hidden="1"/>
    </xf>
    <xf numFmtId="0" fontId="14" fillId="0" borderId="0" xfId="0" applyFont="1" applyAlignment="1" applyProtection="1">
      <alignment horizontal="justify" vertical="center" wrapText="1"/>
      <protection hidden="1"/>
    </xf>
    <xf numFmtId="1" fontId="14" fillId="0" borderId="0" xfId="0" applyNumberFormat="1" applyFont="1" applyAlignment="1" applyProtection="1">
      <alignment horizontal="justify" vertical="center" wrapText="1"/>
      <protection hidden="1"/>
    </xf>
    <xf numFmtId="0" fontId="65" fillId="0" borderId="0" xfId="0" applyFont="1" applyAlignment="1" applyProtection="1">
      <alignment horizontal="justify" vertical="center"/>
      <protection hidden="1"/>
    </xf>
    <xf numFmtId="0" fontId="37" fillId="0" borderId="0" xfId="0" applyFont="1" applyFill="1" applyAlignment="1" applyProtection="1">
      <alignment vertical="center" wrapText="1"/>
      <protection hidden="1"/>
    </xf>
    <xf numFmtId="0" fontId="65" fillId="0" borderId="0" xfId="0" applyFont="1" applyAlignment="1" applyProtection="1">
      <alignment horizontal="left"/>
      <protection hidden="1"/>
    </xf>
    <xf numFmtId="0" fontId="63" fillId="0" borderId="0" xfId="0" applyFont="1" applyAlignment="1" applyProtection="1">
      <alignment horizontal="left" vertical="center"/>
      <protection hidden="1"/>
    </xf>
    <xf numFmtId="0" fontId="62" fillId="0" borderId="0" xfId="0" applyFont="1" applyAlignment="1" applyProtection="1">
      <alignment horizontal="justify" vertical="justify" wrapText="1"/>
      <protection hidden="1"/>
    </xf>
    <xf numFmtId="0" fontId="37" fillId="0" borderId="0" xfId="0" applyFont="1" applyAlignment="1" applyProtection="1">
      <alignment horizontal="right" vertical="top" wrapText="1"/>
      <protection hidden="1"/>
    </xf>
    <xf numFmtId="0" fontId="37" fillId="0" borderId="0" xfId="0" applyFont="1" applyFill="1" applyAlignment="1" applyProtection="1">
      <alignment horizontal="left" wrapText="1"/>
      <protection hidden="1"/>
    </xf>
    <xf numFmtId="0" fontId="37" fillId="0" borderId="0" xfId="0" applyFont="1" applyFill="1" applyProtection="1">
      <protection hidden="1"/>
    </xf>
    <xf numFmtId="0" fontId="37" fillId="0" borderId="0" xfId="0" applyFont="1" applyFill="1" applyAlignment="1" applyProtection="1">
      <alignment horizontal="justify" vertical="justify" wrapText="1"/>
      <protection hidden="1"/>
    </xf>
    <xf numFmtId="0" fontId="69" fillId="0" borderId="0" xfId="0" applyFont="1" applyProtection="1">
      <protection hidden="1"/>
    </xf>
    <xf numFmtId="0" fontId="14" fillId="0" borderId="0" xfId="0" applyFont="1" applyAlignment="1" applyProtection="1">
      <alignment horizontal="left" vertical="center"/>
      <protection hidden="1"/>
    </xf>
    <xf numFmtId="0" fontId="63" fillId="0" borderId="0" xfId="0" applyFont="1" applyBorder="1" applyAlignment="1" applyProtection="1">
      <alignment horizontal="center" vertical="center" wrapText="1"/>
      <protection hidden="1"/>
    </xf>
    <xf numFmtId="0" fontId="70" fillId="0" borderId="0" xfId="0" applyFont="1" applyProtection="1">
      <protection hidden="1"/>
    </xf>
    <xf numFmtId="0" fontId="70" fillId="24" borderId="0" xfId="6" applyFont="1" applyAlignment="1" applyProtection="1">
      <alignment horizontal="center" vertical="center"/>
      <protection hidden="1"/>
    </xf>
    <xf numFmtId="0" fontId="62" fillId="0" borderId="0" xfId="0" applyFont="1" applyBorder="1" applyAlignment="1" applyProtection="1">
      <alignment horizontal="center" vertical="center" wrapText="1"/>
      <protection hidden="1"/>
    </xf>
    <xf numFmtId="0" fontId="62" fillId="2" borderId="0" xfId="0" applyFont="1" applyFill="1" applyBorder="1" applyProtection="1">
      <protection hidden="1"/>
    </xf>
    <xf numFmtId="0" fontId="69" fillId="2" borderId="0" xfId="0" applyFont="1" applyFill="1" applyBorder="1" applyProtection="1">
      <protection hidden="1"/>
    </xf>
    <xf numFmtId="0" fontId="68" fillId="0" borderId="0" xfId="0" applyFont="1" applyAlignment="1" applyProtection="1">
      <alignment horizontal="left" vertical="center"/>
      <protection hidden="1"/>
    </xf>
    <xf numFmtId="0" fontId="69" fillId="0" borderId="0" xfId="0" applyFont="1" applyAlignment="1" applyProtection="1">
      <alignment horizontal="justify" vertical="justify" wrapText="1"/>
      <protection hidden="1"/>
    </xf>
    <xf numFmtId="0" fontId="16" fillId="0" borderId="2" xfId="0" applyFont="1" applyBorder="1" applyAlignment="1" applyProtection="1">
      <alignment horizontal="centerContinuous" vertical="center" wrapText="1"/>
      <protection hidden="1"/>
    </xf>
    <xf numFmtId="0" fontId="16" fillId="0" borderId="71" xfId="0" applyFont="1" applyFill="1" applyBorder="1" applyAlignment="1" applyProtection="1">
      <alignment horizontal="centerContinuous" vertical="center" wrapText="1"/>
      <protection hidden="1"/>
    </xf>
    <xf numFmtId="0" fontId="16" fillId="0" borderId="1" xfId="0" applyFont="1" applyFill="1" applyBorder="1" applyAlignment="1" applyProtection="1">
      <alignment horizontal="center" vertical="center"/>
      <protection hidden="1"/>
    </xf>
    <xf numFmtId="180" fontId="24" fillId="0" borderId="71" xfId="0" applyNumberFormat="1" applyFont="1" applyBorder="1" applyAlignment="1" applyProtection="1">
      <alignment horizontal="center" vertical="center" wrapText="1"/>
      <protection hidden="1"/>
    </xf>
    <xf numFmtId="167" fontId="24" fillId="0" borderId="1" xfId="0" applyNumberFormat="1" applyFont="1" applyFill="1" applyBorder="1" applyAlignment="1" applyProtection="1">
      <alignment horizontal="center" vertical="center" wrapText="1"/>
      <protection hidden="1"/>
    </xf>
    <xf numFmtId="181" fontId="24" fillId="0" borderId="71" xfId="0" applyNumberFormat="1" applyFont="1" applyBorder="1" applyAlignment="1" applyProtection="1">
      <alignment horizontal="center" vertical="center" wrapText="1"/>
      <protection hidden="1"/>
    </xf>
    <xf numFmtId="2" fontId="24" fillId="0" borderId="1" xfId="0" applyNumberFormat="1" applyFont="1" applyFill="1" applyBorder="1" applyAlignment="1" applyProtection="1">
      <alignment horizontal="centerContinuous" vertical="center" wrapText="1"/>
      <protection hidden="1"/>
    </xf>
    <xf numFmtId="2" fontId="24" fillId="0" borderId="1" xfId="0" applyNumberFormat="1" applyFont="1" applyFill="1" applyBorder="1" applyAlignment="1" applyProtection="1">
      <alignment horizontal="center" vertical="center" wrapText="1"/>
      <protection hidden="1"/>
    </xf>
    <xf numFmtId="165" fontId="24" fillId="2" borderId="1" xfId="0" applyNumberFormat="1" applyFont="1" applyFill="1" applyBorder="1" applyAlignment="1" applyProtection="1">
      <alignment horizontal="center" vertical="center" wrapText="1"/>
      <protection hidden="1"/>
    </xf>
    <xf numFmtId="165" fontId="24" fillId="0" borderId="1" xfId="0" applyNumberFormat="1" applyFont="1" applyFill="1" applyBorder="1" applyAlignment="1" applyProtection="1">
      <alignment horizontal="centerContinuous" vertical="center" wrapText="1"/>
      <protection hidden="1"/>
    </xf>
    <xf numFmtId="165" fontId="24" fillId="0" borderId="1" xfId="0" applyNumberFormat="1" applyFont="1" applyFill="1" applyBorder="1" applyAlignment="1" applyProtection="1">
      <alignment horizontal="center" vertical="center" wrapText="1"/>
      <protection hidden="1"/>
    </xf>
    <xf numFmtId="166" fontId="24" fillId="2" borderId="1" xfId="0" applyNumberFormat="1" applyFont="1" applyFill="1" applyBorder="1" applyAlignment="1" applyProtection="1">
      <alignment horizontal="center" vertical="center" wrapText="1"/>
      <protection hidden="1"/>
    </xf>
    <xf numFmtId="166" fontId="24" fillId="0" borderId="1" xfId="0" applyNumberFormat="1" applyFont="1" applyFill="1" applyBorder="1" applyAlignment="1" applyProtection="1">
      <alignment horizontal="centerContinuous" vertical="center" wrapText="1"/>
      <protection hidden="1"/>
    </xf>
    <xf numFmtId="166" fontId="24" fillId="0" borderId="1" xfId="0" applyNumberFormat="1" applyFont="1" applyFill="1" applyBorder="1" applyAlignment="1" applyProtection="1">
      <alignment horizontal="center" vertical="center" wrapText="1"/>
      <protection hidden="1"/>
    </xf>
    <xf numFmtId="173" fontId="24" fillId="0" borderId="0" xfId="0" applyNumberFormat="1" applyFont="1" applyFill="1" applyBorder="1" applyAlignment="1" applyProtection="1">
      <alignment horizontal="centerContinuous" vertical="center" wrapText="1"/>
      <protection hidden="1"/>
    </xf>
    <xf numFmtId="0" fontId="24" fillId="0" borderId="0" xfId="0" applyFont="1" applyFill="1" applyBorder="1" applyAlignment="1" applyProtection="1">
      <alignment horizontal="centerContinuous" vertical="center" wrapText="1"/>
      <protection hidden="1"/>
    </xf>
    <xf numFmtId="1" fontId="24" fillId="0" borderId="0" xfId="0" applyNumberFormat="1" applyFont="1" applyFill="1" applyBorder="1" applyAlignment="1" applyProtection="1">
      <alignment horizontal="center" vertical="center" wrapText="1"/>
      <protection hidden="1"/>
    </xf>
    <xf numFmtId="0" fontId="24" fillId="0" borderId="0" xfId="0" applyFont="1" applyFill="1" applyBorder="1" applyAlignment="1" applyProtection="1">
      <alignment horizontal="center" vertical="center" wrapText="1"/>
      <protection hidden="1"/>
    </xf>
    <xf numFmtId="165" fontId="24" fillId="2" borderId="0" xfId="0" applyNumberFormat="1" applyFont="1" applyFill="1" applyBorder="1" applyAlignment="1" applyProtection="1">
      <alignment horizontal="center" vertical="center" wrapText="1"/>
      <protection hidden="1"/>
    </xf>
    <xf numFmtId="167" fontId="24" fillId="0" borderId="0" xfId="0" applyNumberFormat="1" applyFont="1" applyFill="1" applyBorder="1" applyAlignment="1" applyProtection="1">
      <alignment horizontal="centerContinuous" vertical="center" wrapText="1"/>
      <protection hidden="1"/>
    </xf>
    <xf numFmtId="0" fontId="24" fillId="0" borderId="0" xfId="0" applyFont="1" applyFill="1" applyProtection="1">
      <protection hidden="1"/>
    </xf>
    <xf numFmtId="0" fontId="16" fillId="0" borderId="2" xfId="0" applyFont="1" applyFill="1" applyBorder="1" applyAlignment="1" applyProtection="1">
      <alignment horizontal="centerContinuous" vertical="center" wrapText="1"/>
      <protection hidden="1"/>
    </xf>
    <xf numFmtId="0" fontId="16" fillId="0" borderId="4" xfId="0" applyFont="1" applyFill="1" applyBorder="1" applyAlignment="1" applyProtection="1">
      <alignment horizontal="centerContinuous" vertical="center" wrapText="1"/>
      <protection hidden="1"/>
    </xf>
    <xf numFmtId="167" fontId="70" fillId="0" borderId="1" xfId="0" applyNumberFormat="1" applyFont="1" applyFill="1" applyBorder="1" applyAlignment="1" applyProtection="1">
      <alignment horizontal="center" vertical="center" wrapText="1"/>
      <protection hidden="1"/>
    </xf>
    <xf numFmtId="2" fontId="70" fillId="0" borderId="1" xfId="0" applyNumberFormat="1" applyFont="1" applyFill="1" applyBorder="1" applyAlignment="1" applyProtection="1">
      <alignment horizontal="center" vertical="center" wrapText="1"/>
      <protection hidden="1"/>
    </xf>
    <xf numFmtId="165" fontId="70" fillId="0" borderId="1" xfId="0" applyNumberFormat="1" applyFont="1" applyFill="1" applyBorder="1" applyAlignment="1" applyProtection="1">
      <alignment horizontal="center" vertical="center" wrapText="1"/>
      <protection hidden="1"/>
    </xf>
    <xf numFmtId="166" fontId="70" fillId="0" borderId="1" xfId="0" applyNumberFormat="1" applyFont="1" applyFill="1" applyBorder="1" applyAlignment="1" applyProtection="1">
      <alignment horizontal="center" vertical="center" wrapText="1"/>
      <protection hidden="1"/>
    </xf>
    <xf numFmtId="0" fontId="62" fillId="2" borderId="0" xfId="0" applyFont="1" applyFill="1" applyProtection="1">
      <protection hidden="1"/>
    </xf>
    <xf numFmtId="167" fontId="62" fillId="2" borderId="0" xfId="0" applyNumberFormat="1" applyFont="1" applyFill="1" applyProtection="1">
      <protection hidden="1"/>
    </xf>
    <xf numFmtId="2" fontId="37" fillId="2" borderId="0" xfId="0" applyNumberFormat="1" applyFont="1" applyFill="1" applyProtection="1">
      <protection hidden="1"/>
    </xf>
    <xf numFmtId="167" fontId="14" fillId="0" borderId="1" xfId="0" applyNumberFormat="1" applyFont="1" applyBorder="1" applyAlignment="1" applyProtection="1">
      <alignment horizontal="center" vertical="center" wrapText="1"/>
      <protection hidden="1"/>
    </xf>
    <xf numFmtId="167" fontId="37" fillId="0" borderId="0" xfId="0" applyNumberFormat="1" applyFont="1" applyProtection="1">
      <protection hidden="1"/>
    </xf>
    <xf numFmtId="0" fontId="37" fillId="0" borderId="0" xfId="0" applyFont="1" applyBorder="1" applyAlignment="1" applyProtection="1">
      <alignment horizontal="center" vertical="center" wrapText="1"/>
      <protection hidden="1"/>
    </xf>
    <xf numFmtId="167" fontId="62" fillId="0" borderId="0" xfId="0" applyNumberFormat="1" applyFont="1" applyProtection="1">
      <protection hidden="1"/>
    </xf>
    <xf numFmtId="0" fontId="14" fillId="0" borderId="1" xfId="0" applyFont="1" applyBorder="1" applyAlignment="1" applyProtection="1">
      <alignment horizontal="center" vertical="center" wrapText="1"/>
      <protection locked="0" hidden="1"/>
    </xf>
    <xf numFmtId="0" fontId="14" fillId="0" borderId="0" xfId="0" applyFont="1" applyBorder="1" applyAlignment="1" applyProtection="1">
      <alignment horizontal="center" vertical="center" wrapText="1"/>
      <protection hidden="1"/>
    </xf>
    <xf numFmtId="0" fontId="71" fillId="0" borderId="0" xfId="0" applyFont="1" applyAlignment="1" applyProtection="1">
      <alignment horizontal="left" vertical="center" wrapText="1"/>
      <protection hidden="1"/>
    </xf>
    <xf numFmtId="2" fontId="14" fillId="0" borderId="58" xfId="0" applyNumberFormat="1" applyFont="1" applyBorder="1" applyAlignment="1" applyProtection="1">
      <alignment horizontal="center" wrapText="1"/>
      <protection hidden="1"/>
    </xf>
    <xf numFmtId="0" fontId="40" fillId="0" borderId="68" xfId="0" applyFont="1" applyFill="1" applyBorder="1" applyAlignment="1" applyProtection="1">
      <alignment horizontal="center" wrapText="1"/>
      <protection hidden="1"/>
    </xf>
    <xf numFmtId="166" fontId="14" fillId="0" borderId="35" xfId="0" applyNumberFormat="1" applyFont="1" applyBorder="1" applyAlignment="1" applyProtection="1">
      <alignment horizontal="center" wrapText="1"/>
      <protection hidden="1"/>
    </xf>
    <xf numFmtId="0" fontId="40" fillId="0" borderId="66" xfId="0" applyFont="1" applyFill="1" applyBorder="1" applyAlignment="1" applyProtection="1">
      <alignment horizontal="center" wrapText="1"/>
      <protection hidden="1"/>
    </xf>
    <xf numFmtId="166" fontId="14" fillId="0" borderId="56" xfId="0" applyNumberFormat="1" applyFont="1" applyBorder="1" applyAlignment="1" applyProtection="1">
      <alignment horizontal="center" wrapText="1"/>
      <protection hidden="1"/>
    </xf>
    <xf numFmtId="0" fontId="40" fillId="0" borderId="69" xfId="0" applyFont="1" applyFill="1" applyBorder="1" applyAlignment="1" applyProtection="1">
      <alignment horizontal="center" wrapText="1"/>
      <protection hidden="1"/>
    </xf>
    <xf numFmtId="0" fontId="62" fillId="14" borderId="0" xfId="0" applyFont="1" applyFill="1" applyProtection="1">
      <protection hidden="1"/>
    </xf>
    <xf numFmtId="0" fontId="69" fillId="14" borderId="0" xfId="0" applyFont="1" applyFill="1" applyAlignment="1" applyProtection="1">
      <alignment horizontal="left" vertical="justify" wrapText="1"/>
      <protection hidden="1"/>
    </xf>
    <xf numFmtId="0" fontId="69" fillId="0" borderId="0" xfId="0" applyFont="1" applyAlignment="1" applyProtection="1">
      <alignment horizontal="left" vertical="justify" wrapText="1"/>
      <protection hidden="1"/>
    </xf>
    <xf numFmtId="0" fontId="62" fillId="0" borderId="0" xfId="0" applyFont="1" applyAlignment="1" applyProtection="1">
      <alignment horizontal="left"/>
      <protection hidden="1"/>
    </xf>
    <xf numFmtId="0" fontId="37" fillId="24" borderId="0" xfId="6" applyFont="1" applyProtection="1">
      <alignment horizontal="center"/>
      <protection hidden="1"/>
    </xf>
    <xf numFmtId="0" fontId="37" fillId="0" borderId="0" xfId="0" applyFont="1" applyFill="1" applyAlignment="1" applyProtection="1">
      <protection hidden="1"/>
    </xf>
    <xf numFmtId="0" fontId="62" fillId="0" borderId="0" xfId="0" applyFont="1" applyFill="1" applyProtection="1">
      <protection hidden="1"/>
    </xf>
    <xf numFmtId="1" fontId="14" fillId="0" borderId="0" xfId="0" applyNumberFormat="1" applyFont="1" applyAlignment="1" applyProtection="1">
      <alignment horizontal="right" vertical="center" wrapText="1"/>
      <protection hidden="1"/>
    </xf>
    <xf numFmtId="169" fontId="37" fillId="0" borderId="0" xfId="0" applyNumberFormat="1" applyFont="1" applyFill="1" applyAlignment="1" applyProtection="1">
      <protection hidden="1"/>
    </xf>
    <xf numFmtId="0" fontId="16" fillId="0" borderId="1" xfId="0" applyFont="1" applyFill="1" applyBorder="1" applyAlignment="1" applyProtection="1">
      <alignment horizontal="center" vertical="center" wrapText="1"/>
      <protection hidden="1"/>
    </xf>
    <xf numFmtId="0" fontId="1" fillId="31" borderId="9" xfId="0" applyFont="1" applyFill="1" applyBorder="1" applyAlignment="1" applyProtection="1">
      <alignment horizontal="center" vertical="center" wrapText="1"/>
      <protection locked="0" hidden="1"/>
    </xf>
    <xf numFmtId="0" fontId="1" fillId="7" borderId="9" xfId="0" applyFont="1" applyFill="1" applyBorder="1" applyAlignment="1" applyProtection="1">
      <alignment horizontal="center" vertical="center" wrapText="1"/>
      <protection hidden="1"/>
    </xf>
    <xf numFmtId="0" fontId="1" fillId="7" borderId="44" xfId="0" applyFont="1" applyFill="1" applyBorder="1" applyAlignment="1" applyProtection="1">
      <alignment horizontal="center" vertical="center" wrapText="1"/>
      <protection hidden="1"/>
    </xf>
    <xf numFmtId="14" fontId="1" fillId="7" borderId="44" xfId="0" applyNumberFormat="1" applyFont="1" applyFill="1" applyBorder="1" applyAlignment="1" applyProtection="1">
      <alignment horizontal="center" vertical="center" wrapText="1"/>
      <protection hidden="1"/>
    </xf>
    <xf numFmtId="169" fontId="1" fillId="31" borderId="9" xfId="0" applyNumberFormat="1" applyFont="1" applyFill="1" applyBorder="1" applyAlignment="1" applyProtection="1">
      <alignment horizontal="center" vertical="center" wrapText="1"/>
      <protection locked="0" hidden="1"/>
    </xf>
    <xf numFmtId="49" fontId="1" fillId="31" borderId="9" xfId="0" applyNumberFormat="1" applyFont="1" applyFill="1" applyBorder="1" applyAlignment="1" applyProtection="1">
      <alignment horizontal="center" vertical="center" wrapText="1"/>
      <protection locked="0" hidden="1"/>
    </xf>
    <xf numFmtId="0" fontId="37" fillId="2" borderId="0" xfId="0" applyFont="1" applyFill="1" applyBorder="1" applyAlignment="1" applyProtection="1">
      <alignment horizontal="left" vertical="center" wrapText="1"/>
      <protection hidden="1"/>
    </xf>
    <xf numFmtId="0" fontId="37" fillId="0" borderId="0" xfId="0" applyFont="1" applyAlignment="1" applyProtection="1">
      <alignment horizontal="left" vertical="center" wrapText="1"/>
      <protection hidden="1"/>
    </xf>
    <xf numFmtId="0" fontId="62" fillId="0" borderId="0" xfId="0" applyFont="1" applyAlignment="1" applyProtection="1">
      <alignment horizontal="center"/>
      <protection hidden="1"/>
    </xf>
    <xf numFmtId="0" fontId="14" fillId="0" borderId="0" xfId="0" applyFont="1" applyBorder="1" applyAlignment="1" applyProtection="1">
      <alignment horizontal="left" vertical="center" wrapText="1"/>
      <protection hidden="1"/>
    </xf>
    <xf numFmtId="0" fontId="62" fillId="0" borderId="0" xfId="0" applyFont="1" applyBorder="1" applyAlignment="1" applyProtection="1">
      <alignment horizontal="left" vertical="center" wrapText="1"/>
      <protection hidden="1"/>
    </xf>
    <xf numFmtId="0" fontId="62" fillId="0" borderId="0" xfId="0" applyFont="1" applyAlignment="1" applyProtection="1">
      <alignment horizontal="left" vertical="center" wrapText="1"/>
      <protection hidden="1"/>
    </xf>
    <xf numFmtId="0" fontId="37" fillId="0" borderId="0" xfId="0" applyFont="1" applyAlignment="1" applyProtection="1">
      <alignment horizontal="justify" vertical="center" wrapText="1"/>
      <protection hidden="1"/>
    </xf>
    <xf numFmtId="0" fontId="37" fillId="0" borderId="0" xfId="0" applyFont="1" applyFill="1" applyAlignment="1" applyProtection="1">
      <alignment horizontal="left" vertical="center" wrapText="1"/>
      <protection hidden="1"/>
    </xf>
    <xf numFmtId="0" fontId="16" fillId="0" borderId="6" xfId="0" applyFont="1" applyBorder="1" applyAlignment="1" applyProtection="1">
      <alignment horizontal="center" vertical="center" wrapText="1"/>
      <protection hidden="1"/>
    </xf>
    <xf numFmtId="0" fontId="14" fillId="0" borderId="0" xfId="0" applyFont="1" applyFill="1" applyBorder="1" applyAlignment="1" applyProtection="1">
      <alignment horizontal="left" vertical="center" wrapText="1"/>
      <protection hidden="1"/>
    </xf>
    <xf numFmtId="0" fontId="14" fillId="0" borderId="0" xfId="0" applyFont="1" applyAlignment="1" applyProtection="1">
      <alignment horizontal="center" vertical="center" wrapText="1"/>
      <protection hidden="1"/>
    </xf>
    <xf numFmtId="0" fontId="37" fillId="0" borderId="0" xfId="0" applyFont="1" applyAlignment="1" applyProtection="1">
      <alignment horizontal="center" vertical="center"/>
      <protection hidden="1"/>
    </xf>
    <xf numFmtId="0" fontId="14" fillId="0" borderId="0" xfId="0" applyFont="1" applyAlignment="1" applyProtection="1">
      <alignment horizontal="center"/>
      <protection hidden="1"/>
    </xf>
    <xf numFmtId="164" fontId="5" fillId="31" borderId="44" xfId="0" applyNumberFormat="1" applyFont="1" applyFill="1" applyBorder="1" applyAlignment="1" applyProtection="1">
      <alignment horizontal="center" vertical="center"/>
      <protection hidden="1"/>
    </xf>
    <xf numFmtId="166" fontId="7" fillId="6" borderId="30" xfId="0" applyNumberFormat="1" applyFont="1" applyFill="1" applyBorder="1" applyAlignment="1" applyProtection="1">
      <alignment horizontal="center" vertical="center"/>
      <protection locked="0" hidden="1"/>
    </xf>
    <xf numFmtId="2" fontId="5" fillId="0" borderId="0" xfId="0" applyNumberFormat="1" applyFont="1" applyBorder="1" applyAlignment="1" applyProtection="1">
      <alignment horizontal="center"/>
      <protection hidden="1"/>
    </xf>
    <xf numFmtId="20" fontId="5" fillId="6" borderId="6" xfId="0" applyNumberFormat="1" applyFont="1" applyFill="1" applyBorder="1" applyAlignment="1" applyProtection="1">
      <alignment vertical="center" wrapText="1"/>
      <protection locked="0" hidden="1"/>
    </xf>
    <xf numFmtId="0" fontId="7" fillId="6" borderId="8" xfId="0" applyFont="1" applyFill="1" applyBorder="1" applyAlignment="1" applyProtection="1">
      <alignment vertical="center" wrapText="1"/>
      <protection locked="0" hidden="1"/>
    </xf>
    <xf numFmtId="20" fontId="7" fillId="6" borderId="6" xfId="0" applyNumberFormat="1" applyFont="1" applyFill="1" applyBorder="1" applyAlignment="1" applyProtection="1">
      <alignment vertical="center" wrapText="1"/>
      <protection locked="0" hidden="1"/>
    </xf>
    <xf numFmtId="0" fontId="6" fillId="5" borderId="26" xfId="0" applyFont="1" applyFill="1" applyBorder="1" applyAlignment="1" applyProtection="1">
      <alignment horizontal="center" vertical="center" wrapText="1"/>
      <protection hidden="1"/>
    </xf>
    <xf numFmtId="0" fontId="37" fillId="5" borderId="12" xfId="0" applyFont="1" applyFill="1" applyBorder="1" applyAlignment="1" applyProtection="1">
      <alignment horizontal="center" vertical="center" wrapText="1"/>
      <protection hidden="1"/>
    </xf>
    <xf numFmtId="0" fontId="37" fillId="7" borderId="12" xfId="0" applyFont="1" applyFill="1" applyBorder="1" applyAlignment="1" applyProtection="1">
      <alignment horizontal="center" vertical="center" wrapText="1"/>
      <protection hidden="1"/>
    </xf>
    <xf numFmtId="171" fontId="37" fillId="7" borderId="12" xfId="0" applyNumberFormat="1" applyFont="1" applyFill="1" applyBorder="1" applyAlignment="1" applyProtection="1">
      <alignment horizontal="center" vertical="center" wrapText="1"/>
      <protection hidden="1"/>
    </xf>
    <xf numFmtId="1" fontId="37" fillId="7" borderId="12" xfId="0" applyNumberFormat="1" applyFont="1" applyFill="1" applyBorder="1" applyAlignment="1" applyProtection="1">
      <alignment horizontal="center" vertical="center" wrapText="1"/>
      <protection hidden="1"/>
    </xf>
    <xf numFmtId="0" fontId="2" fillId="5" borderId="12" xfId="0" applyFont="1" applyFill="1" applyBorder="1" applyAlignment="1" applyProtection="1">
      <alignment horizontal="center" vertical="center" wrapText="1"/>
      <protection hidden="1"/>
    </xf>
    <xf numFmtId="168" fontId="37" fillId="7" borderId="12" xfId="0" applyNumberFormat="1" applyFont="1" applyFill="1" applyBorder="1" applyAlignment="1" applyProtection="1">
      <alignment horizontal="center" vertical="center" wrapText="1"/>
      <protection hidden="1"/>
    </xf>
    <xf numFmtId="2" fontId="7" fillId="7" borderId="1" xfId="0" applyNumberFormat="1" applyFont="1" applyFill="1" applyBorder="1" applyAlignment="1" applyProtection="1">
      <alignment horizontal="center" vertical="center" wrapText="1"/>
      <protection hidden="1"/>
    </xf>
    <xf numFmtId="1" fontId="17" fillId="6" borderId="46" xfId="0" applyNumberFormat="1" applyFont="1" applyFill="1" applyBorder="1" applyAlignment="1" applyProtection="1">
      <alignment horizontal="center" vertical="center" wrapText="1"/>
      <protection locked="0" hidden="1"/>
    </xf>
    <xf numFmtId="0" fontId="11" fillId="24" borderId="50" xfId="6" applyBorder="1" applyAlignment="1" applyProtection="1">
      <alignment horizontal="center" vertical="center"/>
      <protection locked="0" hidden="1"/>
    </xf>
    <xf numFmtId="49" fontId="1" fillId="31" borderId="1" xfId="0" applyNumberFormat="1" applyFont="1" applyFill="1" applyBorder="1" applyAlignment="1" applyProtection="1">
      <alignment horizontal="center" vertical="center"/>
      <protection locked="0" hidden="1"/>
    </xf>
    <xf numFmtId="185" fontId="37" fillId="0" borderId="0" xfId="0" applyNumberFormat="1" applyFont="1" applyFill="1" applyAlignment="1" applyProtection="1">
      <alignment horizontal="left" vertical="center" wrapText="1"/>
      <protection hidden="1"/>
    </xf>
    <xf numFmtId="0" fontId="24" fillId="0" borderId="1" xfId="0" applyFont="1" applyFill="1" applyBorder="1" applyAlignment="1" applyProtection="1">
      <alignment horizontal="center" vertical="center" wrapText="1"/>
      <protection hidden="1"/>
    </xf>
    <xf numFmtId="0" fontId="1" fillId="20" borderId="40" xfId="0" applyFont="1" applyFill="1" applyBorder="1" applyAlignment="1" applyProtection="1">
      <alignment horizontal="center" vertical="center"/>
      <protection hidden="1"/>
    </xf>
    <xf numFmtId="0" fontId="5" fillId="20" borderId="39" xfId="0" applyFont="1" applyFill="1" applyBorder="1" applyProtection="1">
      <protection hidden="1"/>
    </xf>
    <xf numFmtId="0" fontId="1" fillId="20" borderId="41" xfId="0" applyFont="1" applyFill="1" applyBorder="1" applyAlignment="1" applyProtection="1">
      <alignment horizontal="center" vertical="center"/>
      <protection hidden="1"/>
    </xf>
    <xf numFmtId="0" fontId="14" fillId="16" borderId="32" xfId="0" applyFont="1" applyFill="1" applyBorder="1" applyAlignment="1" applyProtection="1">
      <alignment horizontal="center" vertical="center" wrapText="1"/>
      <protection hidden="1"/>
    </xf>
    <xf numFmtId="0" fontId="14" fillId="16" borderId="43" xfId="0" applyFont="1" applyFill="1" applyBorder="1" applyAlignment="1" applyProtection="1">
      <alignment horizontal="center" vertical="center" wrapText="1"/>
      <protection hidden="1"/>
    </xf>
    <xf numFmtId="167" fontId="5" fillId="0" borderId="44" xfId="0" applyNumberFormat="1" applyFont="1" applyBorder="1" applyAlignment="1" applyProtection="1">
      <alignment horizontal="center" vertical="center"/>
      <protection hidden="1"/>
    </xf>
    <xf numFmtId="167" fontId="5" fillId="0" borderId="44" xfId="0" applyNumberFormat="1" applyFont="1" applyFill="1" applyBorder="1" applyAlignment="1" applyProtection="1">
      <alignment horizontal="center" vertical="center" wrapText="1"/>
      <protection hidden="1"/>
    </xf>
    <xf numFmtId="167" fontId="5" fillId="0" borderId="37" xfId="0" applyNumberFormat="1" applyFont="1" applyBorder="1" applyAlignment="1" applyProtection="1">
      <alignment horizontal="center" vertical="center"/>
      <protection hidden="1"/>
    </xf>
    <xf numFmtId="0" fontId="37" fillId="0" borderId="0" xfId="0" applyFont="1" applyAlignment="1" applyProtection="1">
      <alignment horizontal="center" vertical="center"/>
      <protection hidden="1"/>
    </xf>
    <xf numFmtId="9" fontId="37" fillId="2" borderId="0" xfId="11" applyFont="1" applyFill="1" applyBorder="1" applyAlignment="1" applyProtection="1">
      <alignment vertical="center" wrapText="1"/>
      <protection hidden="1"/>
    </xf>
    <xf numFmtId="0" fontId="60" fillId="0" borderId="0" xfId="0" applyFont="1"/>
    <xf numFmtId="0" fontId="60" fillId="0" borderId="0" xfId="0" applyFont="1" applyAlignment="1">
      <alignment horizontal="center"/>
    </xf>
    <xf numFmtId="0" fontId="37" fillId="0" borderId="0" xfId="0" applyFont="1" applyFill="1" applyBorder="1" applyAlignment="1" applyProtection="1">
      <alignment horizontal="center" vertical="center"/>
      <protection hidden="1"/>
    </xf>
    <xf numFmtId="166" fontId="60" fillId="0" borderId="0" xfId="0" applyNumberFormat="1" applyFont="1"/>
    <xf numFmtId="0" fontId="5" fillId="7" borderId="32" xfId="0" applyFont="1" applyFill="1" applyBorder="1" applyAlignment="1" applyProtection="1">
      <alignment horizontal="center" vertical="center" wrapText="1"/>
      <protection hidden="1"/>
    </xf>
    <xf numFmtId="0" fontId="5" fillId="7" borderId="9" xfId="0" applyFont="1" applyFill="1" applyBorder="1" applyAlignment="1" applyProtection="1">
      <alignment horizontal="center" vertical="center" wrapText="1"/>
      <protection hidden="1"/>
    </xf>
    <xf numFmtId="0" fontId="37" fillId="2" borderId="0" xfId="0" applyFont="1" applyFill="1" applyBorder="1" applyAlignment="1" applyProtection="1">
      <alignment horizontal="left" vertical="center" wrapText="1"/>
      <protection hidden="1"/>
    </xf>
    <xf numFmtId="0" fontId="37" fillId="0" borderId="0" xfId="0" applyFont="1" applyAlignment="1" applyProtection="1">
      <alignment horizontal="left" vertical="center" wrapText="1"/>
      <protection hidden="1"/>
    </xf>
    <xf numFmtId="0" fontId="62" fillId="0" borderId="0" xfId="0" applyFont="1" applyAlignment="1" applyProtection="1">
      <alignment horizontal="center"/>
      <protection hidden="1"/>
    </xf>
    <xf numFmtId="0" fontId="14" fillId="0" borderId="0" xfId="0" applyFont="1" applyBorder="1" applyAlignment="1" applyProtection="1">
      <alignment horizontal="left" vertical="center" wrapText="1"/>
      <protection hidden="1"/>
    </xf>
    <xf numFmtId="0" fontId="62" fillId="0" borderId="0" xfId="0" applyFont="1" applyBorder="1" applyAlignment="1" applyProtection="1">
      <alignment horizontal="left" vertical="center" wrapText="1"/>
      <protection hidden="1"/>
    </xf>
    <xf numFmtId="0" fontId="62" fillId="0" borderId="0" xfId="0" applyFont="1" applyAlignment="1" applyProtection="1">
      <alignment horizontal="left" vertical="center" wrapText="1"/>
      <protection hidden="1"/>
    </xf>
    <xf numFmtId="0" fontId="37" fillId="0" borderId="0" xfId="0" applyFont="1" applyAlignment="1" applyProtection="1">
      <alignment horizontal="justify" vertical="center" wrapText="1"/>
      <protection hidden="1"/>
    </xf>
    <xf numFmtId="0" fontId="14" fillId="0" borderId="0" xfId="0" applyFont="1" applyFill="1" applyBorder="1" applyAlignment="1" applyProtection="1">
      <alignment horizontal="left" vertical="center" wrapText="1"/>
      <protection hidden="1"/>
    </xf>
    <xf numFmtId="0" fontId="14" fillId="0" borderId="0" xfId="0" applyFont="1" applyAlignment="1" applyProtection="1">
      <alignment horizontal="right" vertical="center" wrapText="1"/>
      <protection hidden="1"/>
    </xf>
    <xf numFmtId="0" fontId="37" fillId="0" borderId="0" xfId="0" applyFont="1" applyAlignment="1" applyProtection="1">
      <alignment horizontal="center" vertical="center"/>
      <protection hidden="1"/>
    </xf>
    <xf numFmtId="0" fontId="14" fillId="0" borderId="0" xfId="0" applyFont="1" applyAlignment="1" applyProtection="1">
      <alignment horizontal="center"/>
      <protection hidden="1"/>
    </xf>
    <xf numFmtId="0" fontId="7" fillId="0" borderId="0" xfId="0" applyFont="1" applyFill="1" applyBorder="1" applyAlignment="1" applyProtection="1">
      <alignment vertical="center" wrapText="1"/>
      <protection locked="0" hidden="1"/>
    </xf>
    <xf numFmtId="20" fontId="5" fillId="6" borderId="1" xfId="0" applyNumberFormat="1" applyFont="1" applyFill="1" applyBorder="1" applyAlignment="1" applyProtection="1">
      <alignment horizontal="center" vertical="center" wrapText="1"/>
      <protection locked="0" hidden="1"/>
    </xf>
    <xf numFmtId="186" fontId="37" fillId="7" borderId="9" xfId="0" applyNumberFormat="1" applyFont="1" applyFill="1" applyBorder="1" applyAlignment="1" applyProtection="1">
      <alignment horizontal="center" vertical="center" wrapText="1"/>
      <protection hidden="1"/>
    </xf>
    <xf numFmtId="187" fontId="37" fillId="7" borderId="9" xfId="0" applyNumberFormat="1" applyFont="1" applyFill="1" applyBorder="1" applyAlignment="1" applyProtection="1">
      <alignment horizontal="center" vertical="center" wrapText="1"/>
      <protection hidden="1"/>
    </xf>
    <xf numFmtId="187" fontId="37" fillId="7" borderId="12" xfId="0" applyNumberFormat="1" applyFont="1" applyFill="1" applyBorder="1" applyAlignment="1" applyProtection="1">
      <alignment horizontal="center" vertical="center" wrapText="1"/>
      <protection hidden="1"/>
    </xf>
    <xf numFmtId="0" fontId="37" fillId="5" borderId="11" xfId="0" applyFont="1" applyFill="1" applyBorder="1" applyAlignment="1" applyProtection="1">
      <alignment horizontal="center" vertical="center" wrapText="1"/>
      <protection hidden="1"/>
    </xf>
    <xf numFmtId="0" fontId="37" fillId="5" borderId="25" xfId="0" applyFont="1" applyFill="1" applyBorder="1" applyAlignment="1" applyProtection="1">
      <alignment horizontal="center" vertical="center" wrapText="1"/>
      <protection hidden="1"/>
    </xf>
    <xf numFmtId="0" fontId="37" fillId="5" borderId="31" xfId="0" applyFont="1" applyFill="1" applyBorder="1" applyAlignment="1" applyProtection="1">
      <alignment horizontal="center" vertical="center" wrapText="1"/>
      <protection hidden="1"/>
    </xf>
    <xf numFmtId="0" fontId="37" fillId="5" borderId="55" xfId="0" applyFont="1" applyFill="1" applyBorder="1" applyAlignment="1" applyProtection="1">
      <alignment horizontal="center" vertical="center" wrapText="1"/>
      <protection hidden="1"/>
    </xf>
    <xf numFmtId="10" fontId="37" fillId="2" borderId="0" xfId="0" applyNumberFormat="1" applyFont="1" applyFill="1" applyBorder="1" applyAlignment="1" applyProtection="1">
      <alignment horizontal="center" vertical="center" wrapText="1"/>
      <protection hidden="1"/>
    </xf>
    <xf numFmtId="0" fontId="37" fillId="7" borderId="55" xfId="0" applyFont="1" applyFill="1" applyBorder="1" applyAlignment="1" applyProtection="1">
      <alignment horizontal="center" vertical="center" wrapText="1"/>
      <protection hidden="1"/>
    </xf>
    <xf numFmtId="0" fontId="6" fillId="5" borderId="17" xfId="0" applyFont="1" applyFill="1" applyBorder="1" applyAlignment="1" applyProtection="1">
      <alignment horizontal="left" vertical="center" wrapText="1"/>
      <protection hidden="1"/>
    </xf>
    <xf numFmtId="0" fontId="37" fillId="7" borderId="18" xfId="0" applyFont="1" applyFill="1" applyBorder="1" applyAlignment="1" applyProtection="1">
      <alignment horizontal="center" vertical="center" wrapText="1"/>
      <protection hidden="1"/>
    </xf>
    <xf numFmtId="0" fontId="37" fillId="5" borderId="18" xfId="0" applyFont="1" applyFill="1" applyBorder="1" applyAlignment="1" applyProtection="1">
      <alignment horizontal="center" vertical="center" wrapText="1"/>
      <protection hidden="1"/>
    </xf>
    <xf numFmtId="168" fontId="37" fillId="7" borderId="18" xfId="0" applyNumberFormat="1" applyFont="1" applyFill="1" applyBorder="1" applyAlignment="1" applyProtection="1">
      <alignment horizontal="center" vertical="center" wrapText="1"/>
      <protection hidden="1"/>
    </xf>
    <xf numFmtId="0" fontId="37" fillId="5" borderId="27" xfId="0" applyFont="1" applyFill="1" applyBorder="1" applyAlignment="1" applyProtection="1">
      <alignment horizontal="center" vertical="center" wrapText="1"/>
      <protection hidden="1"/>
    </xf>
    <xf numFmtId="10" fontId="11" fillId="24" borderId="1" xfId="11" applyNumberFormat="1" applyFont="1" applyFill="1" applyBorder="1" applyAlignment="1" applyProtection="1">
      <alignment horizontal="center" vertical="center"/>
      <protection locked="0" hidden="1"/>
    </xf>
    <xf numFmtId="10" fontId="5" fillId="7" borderId="37" xfId="0" applyNumberFormat="1" applyFont="1" applyFill="1" applyBorder="1" applyAlignment="1" applyProtection="1">
      <alignment horizontal="center" vertical="center" wrapText="1"/>
      <protection hidden="1"/>
    </xf>
    <xf numFmtId="0" fontId="5" fillId="18" borderId="72" xfId="0" applyFont="1" applyFill="1" applyBorder="1" applyAlignment="1" applyProtection="1">
      <alignment horizontal="center" vertical="center"/>
      <protection hidden="1"/>
    </xf>
    <xf numFmtId="0" fontId="5" fillId="18" borderId="67" xfId="0" applyFont="1" applyFill="1" applyBorder="1" applyAlignment="1" applyProtection="1">
      <alignment horizontal="center" vertical="center" wrapText="1"/>
      <protection hidden="1"/>
    </xf>
    <xf numFmtId="0" fontId="5" fillId="18" borderId="67" xfId="0" applyFont="1" applyFill="1" applyBorder="1" applyAlignment="1" applyProtection="1">
      <alignment horizontal="center" vertical="center"/>
      <protection hidden="1"/>
    </xf>
    <xf numFmtId="0" fontId="5" fillId="18" borderId="73" xfId="0" applyFont="1" applyFill="1" applyBorder="1" applyAlignment="1" applyProtection="1">
      <alignment horizontal="center" vertical="center"/>
      <protection hidden="1"/>
    </xf>
    <xf numFmtId="0" fontId="5" fillId="0" borderId="39" xfId="0" applyFont="1" applyFill="1" applyBorder="1" applyAlignment="1" applyProtection="1">
      <alignment horizontal="center" vertical="center" wrapText="1"/>
      <protection hidden="1"/>
    </xf>
    <xf numFmtId="0" fontId="5" fillId="0" borderId="40" xfId="0" applyFont="1" applyFill="1" applyBorder="1" applyAlignment="1" applyProtection="1">
      <alignment horizontal="center" vertical="center" wrapText="1"/>
      <protection hidden="1"/>
    </xf>
    <xf numFmtId="0" fontId="5" fillId="0" borderId="41" xfId="0" applyFont="1" applyBorder="1" applyAlignment="1" applyProtection="1">
      <alignment horizontal="center" vertical="center" wrapText="1"/>
      <protection hidden="1"/>
    </xf>
    <xf numFmtId="10" fontId="5" fillId="7" borderId="32" xfId="0" applyNumberFormat="1" applyFont="1" applyFill="1" applyBorder="1" applyAlignment="1" applyProtection="1">
      <alignment horizontal="center" vertical="center" wrapText="1"/>
      <protection hidden="1"/>
    </xf>
    <xf numFmtId="2" fontId="5" fillId="7" borderId="34" xfId="0" applyNumberFormat="1" applyFont="1" applyFill="1" applyBorder="1" applyAlignment="1" applyProtection="1">
      <alignment horizontal="center" vertical="center" wrapText="1"/>
      <protection hidden="1"/>
    </xf>
    <xf numFmtId="2" fontId="5" fillId="7" borderId="43" xfId="0" applyNumberFormat="1" applyFont="1" applyFill="1" applyBorder="1" applyAlignment="1" applyProtection="1">
      <alignment horizontal="center" vertical="center" wrapText="1"/>
      <protection hidden="1"/>
    </xf>
    <xf numFmtId="177" fontId="24" fillId="0" borderId="71" xfId="0" applyNumberFormat="1" applyFont="1" applyBorder="1" applyAlignment="1" applyProtection="1">
      <alignment horizontal="center" vertical="center" wrapText="1"/>
      <protection hidden="1"/>
    </xf>
    <xf numFmtId="0" fontId="39" fillId="0" borderId="0" xfId="0" applyFont="1" applyFill="1" applyBorder="1" applyProtection="1">
      <protection hidden="1"/>
    </xf>
    <xf numFmtId="2" fontId="13" fillId="0" borderId="0" xfId="0" applyNumberFormat="1" applyFont="1" applyFill="1" applyBorder="1" applyAlignment="1" applyProtection="1">
      <alignment horizontal="center" wrapText="1"/>
      <protection hidden="1"/>
    </xf>
    <xf numFmtId="0" fontId="49" fillId="0" borderId="0" xfId="0" applyFont="1" applyFill="1" applyBorder="1" applyAlignment="1" applyProtection="1">
      <alignment horizontal="center" wrapText="1"/>
      <protection hidden="1"/>
    </xf>
    <xf numFmtId="166" fontId="13" fillId="0" borderId="0" xfId="0" applyNumberFormat="1" applyFont="1" applyFill="1" applyBorder="1" applyAlignment="1" applyProtection="1">
      <alignment horizontal="center" wrapText="1"/>
      <protection hidden="1"/>
    </xf>
    <xf numFmtId="165" fontId="13" fillId="0" borderId="0" xfId="0" applyNumberFormat="1" applyFont="1" applyFill="1" applyBorder="1" applyAlignment="1" applyProtection="1">
      <alignment horizontal="center" wrapText="1"/>
      <protection hidden="1"/>
    </xf>
    <xf numFmtId="0" fontId="5" fillId="7" borderId="32" xfId="0" applyFont="1" applyFill="1" applyBorder="1" applyAlignment="1" applyProtection="1">
      <alignment horizontal="center" vertical="center" wrapText="1"/>
      <protection hidden="1"/>
    </xf>
    <xf numFmtId="0" fontId="5" fillId="7" borderId="9" xfId="0" applyFont="1" applyFill="1" applyBorder="1" applyAlignment="1" applyProtection="1">
      <alignment horizontal="center" vertical="center" wrapText="1"/>
      <protection hidden="1"/>
    </xf>
    <xf numFmtId="0" fontId="37" fillId="0" borderId="0" xfId="0" applyFont="1" applyFill="1" applyAlignment="1" applyProtection="1">
      <alignment horizontal="left" vertical="center" wrapText="1"/>
      <protection hidden="1"/>
    </xf>
    <xf numFmtId="0" fontId="37" fillId="0" borderId="0" xfId="0" applyFont="1" applyAlignment="1" applyProtection="1">
      <alignment horizontal="justify" vertical="center" wrapText="1"/>
      <protection hidden="1"/>
    </xf>
    <xf numFmtId="0" fontId="16" fillId="0" borderId="6" xfId="0" applyFont="1" applyBorder="1" applyAlignment="1" applyProtection="1">
      <alignment horizontal="center" vertical="center" wrapText="1"/>
      <protection hidden="1"/>
    </xf>
    <xf numFmtId="165" fontId="24" fillId="0" borderId="1" xfId="0" applyNumberFormat="1" applyFont="1" applyFill="1" applyBorder="1" applyAlignment="1" applyProtection="1">
      <alignment horizontal="center" vertical="center" wrapText="1"/>
      <protection hidden="1"/>
    </xf>
    <xf numFmtId="0" fontId="37" fillId="0" borderId="0" xfId="0" applyFont="1" applyAlignment="1" applyProtection="1">
      <alignment horizontal="left" vertical="center" wrapText="1"/>
      <protection hidden="1"/>
    </xf>
    <xf numFmtId="0" fontId="62" fillId="0" borderId="0" xfId="0" applyFont="1" applyBorder="1" applyAlignment="1" applyProtection="1">
      <alignment horizontal="left" vertical="center" wrapText="1"/>
      <protection hidden="1"/>
    </xf>
    <xf numFmtId="0" fontId="14" fillId="0" borderId="0" xfId="0" applyFont="1" applyBorder="1" applyAlignment="1" applyProtection="1">
      <alignment horizontal="left" vertical="center" wrapText="1"/>
      <protection hidden="1"/>
    </xf>
    <xf numFmtId="0" fontId="62" fillId="0" borderId="0" xfId="0" applyFont="1" applyAlignment="1" applyProtection="1">
      <alignment horizontal="center"/>
      <protection hidden="1"/>
    </xf>
    <xf numFmtId="0" fontId="37" fillId="2" borderId="0" xfId="0" applyFont="1" applyFill="1" applyBorder="1" applyAlignment="1" applyProtection="1">
      <alignment horizontal="left" vertical="center" wrapText="1"/>
      <protection hidden="1"/>
    </xf>
    <xf numFmtId="0" fontId="62" fillId="0" borderId="0" xfId="0" applyFont="1" applyAlignment="1" applyProtection="1">
      <alignment horizontal="left" vertical="center" wrapText="1"/>
      <protection hidden="1"/>
    </xf>
    <xf numFmtId="0" fontId="14" fillId="0" borderId="0" xfId="0" applyFont="1" applyBorder="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166" fontId="24" fillId="0" borderId="1" xfId="0" applyNumberFormat="1" applyFont="1" applyFill="1" applyBorder="1" applyAlignment="1" applyProtection="1">
      <alignment horizontal="center" vertical="center" wrapText="1"/>
      <protection hidden="1"/>
    </xf>
    <xf numFmtId="0" fontId="49" fillId="0" borderId="0" xfId="0" applyFont="1" applyFill="1" applyBorder="1" applyAlignment="1" applyProtection="1">
      <alignment horizontal="center" wrapText="1"/>
      <protection hidden="1"/>
    </xf>
    <xf numFmtId="0" fontId="14" fillId="0" borderId="0" xfId="0" applyFont="1" applyFill="1" applyBorder="1" applyAlignment="1" applyProtection="1">
      <alignment horizontal="left" vertical="center" wrapText="1"/>
      <protection hidden="1"/>
    </xf>
    <xf numFmtId="0" fontId="14" fillId="0" borderId="0" xfId="0" applyFont="1" applyAlignment="1" applyProtection="1">
      <alignment horizontal="center"/>
      <protection hidden="1"/>
    </xf>
    <xf numFmtId="0" fontId="37" fillId="0" borderId="0" xfId="0" applyFont="1" applyAlignment="1" applyProtection="1">
      <alignment horizontal="center" vertical="center"/>
      <protection hidden="1"/>
    </xf>
    <xf numFmtId="169" fontId="37" fillId="0" borderId="0" xfId="0" applyNumberFormat="1" applyFont="1" applyAlignment="1" applyProtection="1">
      <alignment horizontal="left"/>
      <protection hidden="1"/>
    </xf>
    <xf numFmtId="167" fontId="14" fillId="2" borderId="0" xfId="0" applyNumberFormat="1" applyFont="1" applyFill="1" applyAlignment="1" applyProtection="1">
      <alignment horizontal="center" vertical="center" wrapText="1"/>
      <protection hidden="1"/>
    </xf>
    <xf numFmtId="169" fontId="5" fillId="31" borderId="9" xfId="0" applyNumberFormat="1" applyFont="1" applyFill="1" applyBorder="1" applyAlignment="1" applyProtection="1">
      <alignment horizontal="center" vertical="center" wrapText="1"/>
      <protection locked="0" hidden="1"/>
    </xf>
    <xf numFmtId="0" fontId="1" fillId="31" borderId="34" xfId="0" applyFont="1" applyFill="1" applyBorder="1" applyAlignment="1" applyProtection="1">
      <alignment horizontal="center" vertical="center" wrapText="1"/>
      <protection locked="0" hidden="1"/>
    </xf>
    <xf numFmtId="2" fontId="5" fillId="31" borderId="68" xfId="0" applyNumberFormat="1" applyFont="1" applyFill="1" applyBorder="1" applyAlignment="1" applyProtection="1">
      <alignment horizontal="center" vertical="center" wrapText="1"/>
      <protection locked="0" hidden="1"/>
    </xf>
    <xf numFmtId="0" fontId="5" fillId="31" borderId="66" xfId="0" applyFont="1" applyFill="1" applyBorder="1" applyAlignment="1" applyProtection="1">
      <alignment horizontal="center" vertical="center" wrapText="1"/>
      <protection locked="0" hidden="1"/>
    </xf>
    <xf numFmtId="2" fontId="5" fillId="31" borderId="69" xfId="0" applyNumberFormat="1" applyFont="1" applyFill="1" applyBorder="1" applyAlignment="1" applyProtection="1">
      <alignment horizontal="center" vertical="center" wrapText="1"/>
      <protection locked="0" hidden="1"/>
    </xf>
    <xf numFmtId="0" fontId="37" fillId="0" borderId="0" xfId="0" applyFont="1" applyAlignment="1" applyProtection="1">
      <protection hidden="1"/>
    </xf>
    <xf numFmtId="0" fontId="37" fillId="0" borderId="0" xfId="0" applyFont="1" applyFill="1" applyAlignment="1" applyProtection="1">
      <alignment horizontal="left" vertical="justify" wrapText="1"/>
      <protection hidden="1"/>
    </xf>
    <xf numFmtId="0" fontId="37" fillId="0" borderId="0" xfId="0" applyFont="1" applyFill="1" applyAlignment="1" applyProtection="1">
      <alignment horizontal="center" vertical="center"/>
      <protection hidden="1"/>
    </xf>
    <xf numFmtId="188" fontId="37" fillId="0" borderId="45" xfId="0" applyNumberFormat="1" applyFont="1" applyFill="1" applyBorder="1" applyAlignment="1" applyProtection="1">
      <alignment horizontal="center" vertical="center" wrapText="1"/>
      <protection hidden="1"/>
    </xf>
    <xf numFmtId="188" fontId="37" fillId="0" borderId="53" xfId="0" applyNumberFormat="1" applyFont="1" applyFill="1" applyBorder="1" applyAlignment="1" applyProtection="1">
      <alignment horizontal="center" vertical="center" wrapText="1"/>
      <protection hidden="1"/>
    </xf>
    <xf numFmtId="189" fontId="37" fillId="0" borderId="53" xfId="0" applyNumberFormat="1" applyFont="1" applyFill="1" applyBorder="1" applyAlignment="1" applyProtection="1">
      <alignment horizontal="center" vertical="center" wrapText="1"/>
      <protection hidden="1"/>
    </xf>
    <xf numFmtId="2" fontId="76" fillId="0" borderId="0" xfId="9" applyFont="1" applyFill="1" applyBorder="1" applyAlignment="1">
      <alignment horizontal="center" vertical="center" wrapText="1"/>
      <protection locked="0"/>
    </xf>
    <xf numFmtId="0" fontId="77" fillId="0" borderId="1" xfId="0" applyFont="1" applyFill="1" applyBorder="1" applyAlignment="1" applyProtection="1">
      <alignment horizontal="center" vertical="center"/>
      <protection hidden="1"/>
    </xf>
    <xf numFmtId="0" fontId="77" fillId="0" borderId="1" xfId="0" applyFont="1" applyFill="1" applyBorder="1" applyAlignment="1" applyProtection="1">
      <alignment horizontal="center" vertical="center" wrapText="1"/>
      <protection hidden="1"/>
    </xf>
    <xf numFmtId="9" fontId="78" fillId="2" borderId="0" xfId="11" applyFont="1" applyFill="1" applyBorder="1" applyAlignment="1" applyProtection="1">
      <alignment vertical="center" wrapText="1"/>
      <protection hidden="1"/>
    </xf>
    <xf numFmtId="0" fontId="78" fillId="5" borderId="9" xfId="0" applyFont="1" applyFill="1" applyBorder="1" applyAlignment="1" applyProtection="1">
      <alignment horizontal="center" vertical="center" wrapText="1"/>
      <protection hidden="1"/>
    </xf>
    <xf numFmtId="0" fontId="78" fillId="5" borderId="12" xfId="0" applyFont="1" applyFill="1" applyBorder="1" applyAlignment="1" applyProtection="1">
      <alignment horizontal="center" vertical="center" wrapText="1"/>
      <protection hidden="1"/>
    </xf>
    <xf numFmtId="0" fontId="78" fillId="5" borderId="44" xfId="0" applyFont="1" applyFill="1" applyBorder="1" applyAlignment="1" applyProtection="1">
      <alignment horizontal="center" vertical="center" wrapText="1"/>
      <protection hidden="1"/>
    </xf>
    <xf numFmtId="0" fontId="78" fillId="5" borderId="40" xfId="0" applyFont="1" applyFill="1" applyBorder="1" applyAlignment="1" applyProtection="1">
      <alignment horizontal="center" vertical="center" wrapText="1"/>
      <protection hidden="1"/>
    </xf>
    <xf numFmtId="0" fontId="78" fillId="5" borderId="1" xfId="0" applyFont="1" applyFill="1" applyBorder="1" applyAlignment="1" applyProtection="1">
      <alignment horizontal="center" vertical="center" wrapText="1"/>
      <protection hidden="1"/>
    </xf>
    <xf numFmtId="0" fontId="77" fillId="5" borderId="20" xfId="0" applyFont="1" applyFill="1" applyBorder="1" applyAlignment="1" applyProtection="1">
      <alignment horizontal="center" vertical="center" wrapText="1"/>
      <protection hidden="1"/>
    </xf>
    <xf numFmtId="0" fontId="77" fillId="5" borderId="57" xfId="0" applyFont="1" applyFill="1" applyBorder="1" applyAlignment="1" applyProtection="1">
      <alignment horizontal="center" vertical="center" wrapText="1"/>
      <protection hidden="1"/>
    </xf>
    <xf numFmtId="187" fontId="78" fillId="7" borderId="44" xfId="0" applyNumberFormat="1" applyFont="1" applyFill="1" applyBorder="1" applyAlignment="1" applyProtection="1">
      <alignment horizontal="center" vertical="center" wrapText="1"/>
      <protection hidden="1"/>
    </xf>
    <xf numFmtId="0" fontId="78" fillId="7" borderId="44" xfId="0" applyFont="1" applyFill="1" applyBorder="1" applyAlignment="1" applyProtection="1">
      <alignment horizontal="center" vertical="center" wrapText="1"/>
      <protection hidden="1"/>
    </xf>
    <xf numFmtId="171" fontId="78" fillId="7" borderId="44" xfId="0" applyNumberFormat="1" applyFont="1" applyFill="1" applyBorder="1" applyAlignment="1" applyProtection="1">
      <alignment horizontal="center" vertical="center" wrapText="1"/>
      <protection hidden="1"/>
    </xf>
    <xf numFmtId="1" fontId="78" fillId="7" borderId="44" xfId="0" applyNumberFormat="1" applyFont="1" applyFill="1" applyBorder="1" applyAlignment="1" applyProtection="1">
      <alignment horizontal="center" vertical="center" wrapText="1"/>
      <protection hidden="1"/>
    </xf>
    <xf numFmtId="168" fontId="78" fillId="7" borderId="44" xfId="0" applyNumberFormat="1" applyFont="1" applyFill="1" applyBorder="1" applyAlignment="1" applyProtection="1">
      <alignment horizontal="center" vertical="center" wrapText="1"/>
      <protection hidden="1"/>
    </xf>
    <xf numFmtId="0" fontId="78" fillId="5" borderId="55" xfId="0" applyFont="1" applyFill="1" applyBorder="1" applyAlignment="1" applyProtection="1">
      <alignment horizontal="center" vertical="center" wrapText="1"/>
      <protection hidden="1"/>
    </xf>
    <xf numFmtId="186" fontId="78" fillId="7" borderId="44" xfId="0" applyNumberFormat="1" applyFont="1" applyFill="1" applyBorder="1" applyAlignment="1" applyProtection="1">
      <alignment horizontal="center" vertical="center" wrapText="1"/>
      <protection hidden="1"/>
    </xf>
    <xf numFmtId="186" fontId="37" fillId="7" borderId="12" xfId="0" applyNumberFormat="1" applyFont="1" applyFill="1" applyBorder="1" applyAlignment="1" applyProtection="1">
      <alignment horizontal="center" vertical="center" wrapText="1"/>
      <protection hidden="1"/>
    </xf>
    <xf numFmtId="0" fontId="7" fillId="5" borderId="12" xfId="0" applyFont="1" applyFill="1" applyBorder="1" applyAlignment="1" applyProtection="1">
      <alignment horizontal="center" vertical="center" wrapText="1"/>
      <protection hidden="1"/>
    </xf>
    <xf numFmtId="0" fontId="77" fillId="5" borderId="44" xfId="0" applyFont="1" applyFill="1" applyBorder="1" applyAlignment="1" applyProtection="1">
      <alignment horizontal="center" vertical="center" wrapText="1"/>
      <protection hidden="1"/>
    </xf>
    <xf numFmtId="0" fontId="78" fillId="5" borderId="37" xfId="0" applyFont="1" applyFill="1" applyBorder="1" applyAlignment="1" applyProtection="1">
      <alignment horizontal="center" vertical="center" wrapText="1"/>
      <protection hidden="1"/>
    </xf>
    <xf numFmtId="0" fontId="19" fillId="25" borderId="1" xfId="0" applyFont="1" applyFill="1" applyBorder="1" applyAlignment="1" applyProtection="1">
      <alignment horizontal="center" vertical="center"/>
      <protection hidden="1"/>
    </xf>
    <xf numFmtId="2" fontId="75" fillId="0" borderId="1" xfId="0" applyNumberFormat="1" applyFont="1" applyFill="1" applyBorder="1" applyAlignment="1">
      <alignment horizontal="center"/>
    </xf>
    <xf numFmtId="0" fontId="60" fillId="18" borderId="1" xfId="0" applyFont="1" applyFill="1" applyBorder="1" applyAlignment="1">
      <alignment horizontal="center"/>
    </xf>
    <xf numFmtId="0" fontId="14" fillId="18" borderId="32" xfId="0" applyFont="1" applyFill="1" applyBorder="1" applyAlignment="1" applyProtection="1">
      <alignment horizontal="center" vertical="center" wrapText="1"/>
      <protection hidden="1"/>
    </xf>
    <xf numFmtId="0" fontId="14" fillId="18" borderId="9" xfId="0" applyFont="1" applyFill="1" applyBorder="1" applyAlignment="1" applyProtection="1">
      <alignment horizontal="center" vertical="center" wrapText="1"/>
      <protection hidden="1"/>
    </xf>
    <xf numFmtId="0" fontId="14" fillId="18" borderId="34" xfId="0" applyFont="1" applyFill="1" applyBorder="1" applyAlignment="1" applyProtection="1">
      <alignment horizontal="center" vertical="center" wrapText="1"/>
      <protection hidden="1"/>
    </xf>
    <xf numFmtId="0" fontId="37" fillId="18" borderId="8" xfId="0" applyFont="1" applyFill="1" applyBorder="1" applyAlignment="1" applyProtection="1">
      <alignment horizontal="center" vertical="center" wrapText="1"/>
      <protection hidden="1"/>
    </xf>
    <xf numFmtId="0" fontId="60" fillId="0" borderId="0" xfId="0" applyFont="1" applyAlignment="1">
      <alignment horizontal="center" vertical="center" wrapText="1"/>
    </xf>
    <xf numFmtId="0" fontId="68" fillId="18" borderId="1" xfId="0" applyFont="1" applyFill="1" applyBorder="1" applyAlignment="1">
      <alignment horizontal="right" vertical="center"/>
    </xf>
    <xf numFmtId="167" fontId="39" fillId="0" borderId="32" xfId="0" applyNumberFormat="1" applyFont="1" applyFill="1" applyBorder="1" applyAlignment="1" applyProtection="1">
      <alignment horizontal="center" vertical="center" wrapText="1"/>
      <protection hidden="1"/>
    </xf>
    <xf numFmtId="0" fontId="39" fillId="0" borderId="9" xfId="0" applyFont="1" applyFill="1" applyBorder="1" applyAlignment="1" applyProtection="1">
      <alignment horizontal="center" vertical="center" wrapText="1"/>
      <protection hidden="1"/>
    </xf>
    <xf numFmtId="0" fontId="39" fillId="0" borderId="34" xfId="0" applyFont="1" applyFill="1" applyBorder="1" applyAlignment="1" applyProtection="1">
      <alignment horizontal="center" vertical="center" wrapText="1"/>
      <protection hidden="1"/>
    </xf>
    <xf numFmtId="0" fontId="39" fillId="0" borderId="32" xfId="0" applyFont="1" applyFill="1" applyBorder="1" applyAlignment="1" applyProtection="1">
      <alignment horizontal="center" vertical="center" wrapText="1"/>
      <protection hidden="1"/>
    </xf>
    <xf numFmtId="0" fontId="39" fillId="0" borderId="49" xfId="0" applyFont="1" applyFill="1" applyBorder="1" applyAlignment="1" applyProtection="1">
      <alignment horizontal="center" vertical="center" wrapText="1"/>
      <protection hidden="1"/>
    </xf>
    <xf numFmtId="0" fontId="37" fillId="2" borderId="32" xfId="0" applyFont="1" applyFill="1" applyBorder="1" applyAlignment="1" applyProtection="1">
      <alignment horizontal="center" vertical="center" wrapText="1"/>
      <protection hidden="1"/>
    </xf>
    <xf numFmtId="0" fontId="37" fillId="2" borderId="9" xfId="0" applyFont="1" applyFill="1" applyBorder="1" applyAlignment="1" applyProtection="1">
      <alignment horizontal="center" vertical="center" wrapText="1"/>
      <protection hidden="1"/>
    </xf>
    <xf numFmtId="0" fontId="37" fillId="2" borderId="34" xfId="0" applyFont="1" applyFill="1" applyBorder="1" applyAlignment="1" applyProtection="1">
      <alignment horizontal="center" vertical="center" wrapText="1"/>
      <protection hidden="1"/>
    </xf>
    <xf numFmtId="0" fontId="37" fillId="2" borderId="49" xfId="0" applyFont="1" applyFill="1" applyBorder="1" applyAlignment="1" applyProtection="1">
      <alignment horizontal="center" vertical="center" wrapText="1"/>
      <protection hidden="1"/>
    </xf>
    <xf numFmtId="167" fontId="39" fillId="0" borderId="9" xfId="0" applyNumberFormat="1" applyFont="1" applyFill="1" applyBorder="1" applyAlignment="1" applyProtection="1">
      <alignment horizontal="center" vertical="center" wrapText="1"/>
      <protection hidden="1"/>
    </xf>
    <xf numFmtId="166" fontId="39" fillId="0" borderId="8" xfId="0" applyNumberFormat="1" applyFont="1" applyFill="1" applyBorder="1" applyAlignment="1" applyProtection="1">
      <alignment horizontal="center" vertical="center" wrapText="1"/>
      <protection hidden="1"/>
    </xf>
    <xf numFmtId="167" fontId="39" fillId="2" borderId="9" xfId="0" applyNumberFormat="1" applyFont="1" applyFill="1" applyBorder="1" applyAlignment="1" applyProtection="1">
      <alignment horizontal="center" vertical="center" wrapText="1"/>
      <protection hidden="1"/>
    </xf>
    <xf numFmtId="0" fontId="39" fillId="2" borderId="9" xfId="0" applyFont="1" applyFill="1" applyBorder="1" applyAlignment="1" applyProtection="1">
      <alignment horizontal="center" vertical="center" wrapText="1"/>
      <protection hidden="1"/>
    </xf>
    <xf numFmtId="0" fontId="39" fillId="2" borderId="34" xfId="0" applyFont="1" applyFill="1" applyBorder="1" applyAlignment="1" applyProtection="1">
      <alignment horizontal="center" vertical="center" wrapText="1"/>
      <protection hidden="1"/>
    </xf>
    <xf numFmtId="166" fontId="39" fillId="2" borderId="8" xfId="0" applyNumberFormat="1" applyFont="1" applyFill="1" applyBorder="1" applyAlignment="1" applyProtection="1">
      <alignment horizontal="center" vertical="center" wrapText="1"/>
      <protection hidden="1"/>
    </xf>
    <xf numFmtId="0" fontId="39" fillId="0" borderId="43" xfId="0" applyFont="1" applyFill="1" applyBorder="1" applyAlignment="1" applyProtection="1">
      <alignment horizontal="center" vertical="center" wrapText="1"/>
      <protection hidden="1"/>
    </xf>
    <xf numFmtId="2" fontId="39" fillId="0" borderId="44" xfId="0" applyNumberFormat="1" applyFont="1" applyFill="1" applyBorder="1" applyAlignment="1" applyProtection="1">
      <alignment horizontal="center" vertical="center" wrapText="1"/>
      <protection hidden="1"/>
    </xf>
    <xf numFmtId="0" fontId="39" fillId="0" borderId="44" xfId="0" applyFont="1" applyFill="1" applyBorder="1" applyAlignment="1" applyProtection="1">
      <alignment horizontal="center" vertical="center" wrapText="1"/>
      <protection hidden="1"/>
    </xf>
    <xf numFmtId="0" fontId="39" fillId="0" borderId="37" xfId="0" applyFont="1" applyFill="1" applyBorder="1" applyAlignment="1" applyProtection="1">
      <alignment horizontal="center" vertical="center" wrapText="1"/>
      <protection hidden="1"/>
    </xf>
    <xf numFmtId="0" fontId="39" fillId="0" borderId="38" xfId="0" applyFont="1" applyFill="1" applyBorder="1" applyAlignment="1" applyProtection="1">
      <alignment horizontal="center" vertical="center" wrapText="1"/>
      <protection hidden="1"/>
    </xf>
    <xf numFmtId="0" fontId="39" fillId="2" borderId="43" xfId="0" applyFont="1" applyFill="1" applyBorder="1" applyAlignment="1" applyProtection="1">
      <alignment horizontal="center" vertical="center" wrapText="1"/>
      <protection hidden="1"/>
    </xf>
    <xf numFmtId="2" fontId="39" fillId="2" borderId="44" xfId="0" applyNumberFormat="1" applyFont="1" applyFill="1" applyBorder="1" applyAlignment="1" applyProtection="1">
      <alignment horizontal="center" vertical="center" wrapText="1"/>
      <protection hidden="1"/>
    </xf>
    <xf numFmtId="0" fontId="39" fillId="2" borderId="44" xfId="0" applyFont="1" applyFill="1" applyBorder="1" applyAlignment="1" applyProtection="1">
      <alignment horizontal="center" vertical="center" wrapText="1"/>
      <protection hidden="1"/>
    </xf>
    <xf numFmtId="0" fontId="39" fillId="2" borderId="37" xfId="0" applyFont="1" applyFill="1" applyBorder="1" applyAlignment="1" applyProtection="1">
      <alignment horizontal="center" vertical="center" wrapText="1"/>
      <protection hidden="1"/>
    </xf>
    <xf numFmtId="0" fontId="39" fillId="2" borderId="38" xfId="0" applyFont="1" applyFill="1" applyBorder="1" applyAlignment="1" applyProtection="1">
      <alignment horizontal="center" vertical="center" wrapText="1"/>
      <protection hidden="1"/>
    </xf>
    <xf numFmtId="0" fontId="14" fillId="0" borderId="32"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6" fillId="13" borderId="9" xfId="0" applyFont="1" applyFill="1" applyBorder="1" applyAlignment="1">
      <alignment horizontal="center" vertical="center" wrapText="1"/>
    </xf>
    <xf numFmtId="0" fontId="6" fillId="13" borderId="44" xfId="0" applyFont="1" applyFill="1" applyBorder="1" applyAlignment="1">
      <alignment horizontal="center" vertical="center" wrapText="1"/>
    </xf>
    <xf numFmtId="167" fontId="5" fillId="15" borderId="34" xfId="0" applyNumberFormat="1" applyFont="1" applyFill="1" applyBorder="1" applyAlignment="1">
      <alignment horizontal="center" vertical="center" wrapText="1"/>
    </xf>
    <xf numFmtId="167" fontId="5" fillId="15" borderId="37" xfId="0" applyNumberFormat="1" applyFont="1" applyFill="1" applyBorder="1" applyAlignment="1">
      <alignment horizontal="center" vertical="center" wrapText="1"/>
    </xf>
    <xf numFmtId="0" fontId="6" fillId="0" borderId="39" xfId="0" applyFont="1" applyBorder="1" applyAlignment="1">
      <alignment horizontal="center" vertical="center" wrapText="1"/>
    </xf>
    <xf numFmtId="20" fontId="5" fillId="0" borderId="40" xfId="0" applyNumberFormat="1" applyFont="1" applyFill="1" applyBorder="1" applyAlignment="1">
      <alignment horizontal="center" vertical="center" wrapText="1"/>
    </xf>
    <xf numFmtId="0" fontId="6" fillId="0" borderId="40" xfId="0" applyFont="1" applyFill="1" applyBorder="1" applyAlignment="1">
      <alignment horizontal="center" vertical="center" wrapText="1"/>
    </xf>
    <xf numFmtId="2" fontId="5" fillId="27" borderId="41" xfId="9" applyFont="1" applyBorder="1" applyAlignment="1">
      <alignment horizontal="center" vertical="center" wrapText="1"/>
      <protection locked="0"/>
    </xf>
    <xf numFmtId="0" fontId="7" fillId="0" borderId="0" xfId="0" applyFont="1" applyFill="1" applyAlignment="1">
      <alignment horizontal="center" vertical="center" wrapText="1"/>
    </xf>
    <xf numFmtId="0" fontId="6" fillId="0" borderId="34" xfId="0" applyFont="1" applyFill="1" applyBorder="1" applyAlignment="1">
      <alignment horizontal="center" vertical="center" wrapText="1"/>
    </xf>
    <xf numFmtId="14" fontId="76" fillId="0" borderId="40" xfId="0" applyNumberFormat="1" applyFont="1" applyBorder="1" applyAlignment="1" applyProtection="1">
      <alignment horizontal="center" vertical="center" wrapText="1"/>
      <protection hidden="1"/>
    </xf>
    <xf numFmtId="0" fontId="76" fillId="0" borderId="9" xfId="0" applyFont="1" applyBorder="1" applyAlignment="1" applyProtection="1">
      <alignment horizontal="center" vertical="center" wrapText="1"/>
      <protection hidden="1"/>
    </xf>
    <xf numFmtId="0" fontId="76" fillId="0" borderId="44" xfId="0" applyFont="1" applyFill="1" applyBorder="1" applyAlignment="1" applyProtection="1">
      <alignment horizontal="center" vertical="center" wrapText="1"/>
      <protection hidden="1"/>
    </xf>
    <xf numFmtId="0" fontId="76" fillId="0" borderId="71" xfId="0" applyFont="1" applyFill="1" applyBorder="1" applyAlignment="1" applyProtection="1">
      <alignment horizontal="center" vertical="center" wrapText="1"/>
      <protection hidden="1"/>
    </xf>
    <xf numFmtId="0" fontId="76" fillId="0" borderId="1" xfId="0" applyFont="1" applyFill="1" applyBorder="1" applyAlignment="1" applyProtection="1">
      <alignment horizontal="center" vertical="center" wrapText="1"/>
      <protection hidden="1"/>
    </xf>
    <xf numFmtId="0" fontId="76" fillId="0" borderId="71" xfId="0" applyFont="1" applyBorder="1" applyAlignment="1" applyProtection="1">
      <alignment horizontal="center" vertical="center" wrapText="1"/>
      <protection hidden="1"/>
    </xf>
    <xf numFmtId="0" fontId="76" fillId="2" borderId="1" xfId="0" applyFont="1" applyFill="1" applyBorder="1" applyAlignment="1" applyProtection="1">
      <alignment horizontal="center" vertical="center" wrapText="1"/>
      <protection hidden="1"/>
    </xf>
    <xf numFmtId="165" fontId="76" fillId="0" borderId="1" xfId="0" applyNumberFormat="1" applyFont="1" applyFill="1" applyBorder="1" applyAlignment="1" applyProtection="1">
      <alignment horizontal="centerContinuous" vertical="center" wrapText="1"/>
      <protection hidden="1"/>
    </xf>
    <xf numFmtId="2" fontId="76" fillId="0" borderId="1" xfId="0" applyNumberFormat="1" applyFont="1" applyFill="1" applyBorder="1" applyAlignment="1" applyProtection="1">
      <alignment horizontal="centerContinuous" vertical="center" wrapText="1"/>
      <protection hidden="1"/>
    </xf>
    <xf numFmtId="0" fontId="76" fillId="0" borderId="6" xfId="0" applyFont="1" applyFill="1" applyBorder="1" applyAlignment="1" applyProtection="1">
      <alignment horizontal="center" vertical="center" wrapText="1"/>
      <protection hidden="1"/>
    </xf>
    <xf numFmtId="185" fontId="39" fillId="0" borderId="0" xfId="0" applyNumberFormat="1" applyFont="1" applyFill="1" applyAlignment="1" applyProtection="1">
      <alignment horizontal="left" vertical="center" wrapText="1"/>
      <protection hidden="1"/>
    </xf>
    <xf numFmtId="0" fontId="39" fillId="2" borderId="80" xfId="0" applyFont="1" applyFill="1" applyBorder="1" applyAlignment="1" applyProtection="1">
      <alignment horizontal="center" vertical="center"/>
      <protection hidden="1"/>
    </xf>
    <xf numFmtId="167" fontId="39" fillId="2" borderId="80" xfId="0" applyNumberFormat="1" applyFont="1" applyFill="1" applyBorder="1" applyAlignment="1" applyProtection="1">
      <alignment horizontal="center" vertical="center"/>
      <protection hidden="1"/>
    </xf>
    <xf numFmtId="0" fontId="13" fillId="0" borderId="0" xfId="0" applyFont="1" applyAlignment="1" applyProtection="1">
      <alignment horizontal="center" vertical="center" wrapText="1"/>
      <protection hidden="1"/>
    </xf>
    <xf numFmtId="0" fontId="13" fillId="0" borderId="0" xfId="0" applyFont="1" applyAlignment="1" applyProtection="1">
      <alignment horizontal="center"/>
      <protection hidden="1"/>
    </xf>
    <xf numFmtId="179" fontId="39" fillId="0" borderId="0" xfId="0" applyNumberFormat="1" applyFont="1" applyFill="1" applyAlignment="1" applyProtection="1">
      <alignment horizontal="left" vertical="center" wrapText="1"/>
      <protection hidden="1"/>
    </xf>
    <xf numFmtId="0" fontId="39" fillId="0" borderId="0" xfId="0" applyFont="1" applyAlignment="1" applyProtection="1">
      <alignment horizontal="left" vertical="center" wrapText="1"/>
      <protection hidden="1"/>
    </xf>
    <xf numFmtId="2" fontId="39" fillId="0" borderId="0" xfId="0" applyNumberFormat="1" applyFont="1" applyFill="1" applyAlignment="1" applyProtection="1">
      <alignment horizontal="left" vertical="center" wrapText="1"/>
      <protection hidden="1"/>
    </xf>
    <xf numFmtId="178" fontId="39" fillId="0" borderId="0" xfId="0" applyNumberFormat="1" applyFont="1" applyFill="1" applyAlignment="1" applyProtection="1">
      <alignment horizontal="left" vertical="center" wrapText="1"/>
      <protection hidden="1"/>
    </xf>
    <xf numFmtId="0" fontId="39" fillId="0" borderId="0" xfId="0" applyFont="1" applyAlignment="1" applyProtection="1">
      <alignment vertical="center" wrapText="1"/>
      <protection hidden="1"/>
    </xf>
    <xf numFmtId="189" fontId="37" fillId="0" borderId="78" xfId="0" applyNumberFormat="1" applyFont="1" applyFill="1" applyBorder="1" applyAlignment="1" applyProtection="1">
      <alignment horizontal="center" vertical="center" wrapText="1"/>
      <protection hidden="1"/>
    </xf>
    <xf numFmtId="0" fontId="13" fillId="0" borderId="0" xfId="0" applyFont="1" applyAlignment="1" applyProtection="1">
      <alignment horizontal="justify" vertical="center" wrapText="1"/>
      <protection hidden="1"/>
    </xf>
    <xf numFmtId="169" fontId="37" fillId="0" borderId="0" xfId="0" applyNumberFormat="1" applyFont="1" applyAlignment="1" applyProtection="1">
      <alignment vertical="center" wrapText="1"/>
      <protection hidden="1"/>
    </xf>
    <xf numFmtId="0" fontId="62" fillId="0" borderId="0" xfId="0" applyFont="1" applyAlignment="1" applyProtection="1">
      <alignment vertical="center" wrapText="1"/>
      <protection hidden="1"/>
    </xf>
    <xf numFmtId="0" fontId="62" fillId="0" borderId="0" xfId="0" applyFont="1" applyFill="1" applyAlignment="1" applyProtection="1">
      <alignment vertical="center" wrapText="1"/>
      <protection hidden="1"/>
    </xf>
    <xf numFmtId="169" fontId="37" fillId="0" borderId="0" xfId="0" applyNumberFormat="1" applyFont="1" applyFill="1" applyAlignment="1" applyProtection="1">
      <alignment horizontal="left" vertical="center" wrapText="1"/>
      <protection hidden="1"/>
    </xf>
    <xf numFmtId="0" fontId="39" fillId="0" borderId="0" xfId="0" applyFont="1" applyFill="1" applyAlignment="1" applyProtection="1">
      <alignment horizontal="left" vertical="center" wrapText="1"/>
      <protection hidden="1"/>
    </xf>
    <xf numFmtId="0" fontId="39" fillId="0" borderId="0" xfId="0" applyFont="1" applyFill="1" applyAlignment="1" applyProtection="1">
      <alignment vertical="center" wrapText="1"/>
      <protection hidden="1"/>
    </xf>
    <xf numFmtId="167" fontId="3" fillId="32" borderId="39" xfId="0" applyNumberFormat="1" applyFont="1" applyFill="1" applyBorder="1" applyAlignment="1">
      <alignment horizontal="center" vertical="center" wrapText="1"/>
    </xf>
    <xf numFmtId="167" fontId="3" fillId="32" borderId="40" xfId="0" applyNumberFormat="1" applyFont="1" applyFill="1" applyBorder="1" applyAlignment="1">
      <alignment horizontal="center" vertical="center" wrapText="1"/>
    </xf>
    <xf numFmtId="2" fontId="6" fillId="32" borderId="40" xfId="0" applyNumberFormat="1" applyFont="1" applyFill="1" applyBorder="1" applyAlignment="1">
      <alignment horizontal="center" vertical="center" wrapText="1"/>
    </xf>
    <xf numFmtId="0" fontId="3" fillId="32" borderId="40" xfId="0" applyFont="1" applyFill="1" applyBorder="1" applyAlignment="1">
      <alignment horizontal="center" vertical="center" wrapText="1"/>
    </xf>
    <xf numFmtId="167" fontId="3" fillId="32" borderId="32" xfId="0" applyNumberFormat="1" applyFont="1" applyFill="1" applyBorder="1" applyAlignment="1">
      <alignment horizontal="center" vertical="center" wrapText="1"/>
    </xf>
    <xf numFmtId="167" fontId="3" fillId="32" borderId="9" xfId="0" applyNumberFormat="1" applyFont="1" applyFill="1" applyBorder="1" applyAlignment="1">
      <alignment horizontal="center" vertical="center" wrapText="1"/>
    </xf>
    <xf numFmtId="2" fontId="6" fillId="32" borderId="9" xfId="0" applyNumberFormat="1" applyFont="1" applyFill="1" applyBorder="1" applyAlignment="1">
      <alignment horizontal="center" vertical="center" wrapText="1"/>
    </xf>
    <xf numFmtId="2" fontId="3" fillId="32" borderId="9" xfId="0" applyNumberFormat="1" applyFont="1" applyFill="1" applyBorder="1" applyAlignment="1">
      <alignment horizontal="center" vertical="center" wrapText="1"/>
    </xf>
    <xf numFmtId="2" fontId="3" fillId="32" borderId="32" xfId="0" applyNumberFormat="1" applyFont="1" applyFill="1" applyBorder="1" applyAlignment="1">
      <alignment horizontal="center" vertical="center" wrapText="1"/>
    </xf>
    <xf numFmtId="9" fontId="3" fillId="32" borderId="9" xfId="11" applyFont="1" applyFill="1" applyBorder="1" applyAlignment="1">
      <alignment horizontal="center" vertical="center" wrapText="1"/>
    </xf>
    <xf numFmtId="9" fontId="3" fillId="32" borderId="34" xfId="11" applyFont="1" applyFill="1" applyBorder="1" applyAlignment="1">
      <alignment horizontal="center" vertical="center" wrapText="1"/>
    </xf>
    <xf numFmtId="0" fontId="3" fillId="32" borderId="9" xfId="0" applyFont="1" applyFill="1" applyBorder="1" applyAlignment="1">
      <alignment horizontal="center" vertical="center" wrapText="1"/>
    </xf>
    <xf numFmtId="0" fontId="3" fillId="32" borderId="34" xfId="0" applyFont="1" applyFill="1" applyBorder="1" applyAlignment="1">
      <alignment horizontal="center" vertical="center" wrapText="1"/>
    </xf>
    <xf numFmtId="9" fontId="3" fillId="32" borderId="34" xfId="0" applyNumberFormat="1" applyFont="1" applyFill="1" applyBorder="1" applyAlignment="1">
      <alignment horizontal="center" vertical="center" wrapText="1"/>
    </xf>
    <xf numFmtId="167" fontId="3" fillId="32" borderId="43" xfId="0" applyNumberFormat="1" applyFont="1" applyFill="1" applyBorder="1" applyAlignment="1">
      <alignment horizontal="center" vertical="center" wrapText="1"/>
    </xf>
    <xf numFmtId="167" fontId="3" fillId="32" borderId="44" xfId="0" applyNumberFormat="1" applyFont="1" applyFill="1" applyBorder="1" applyAlignment="1">
      <alignment horizontal="center" vertical="center" wrapText="1"/>
    </xf>
    <xf numFmtId="2" fontId="6" fillId="32" borderId="44" xfId="0" applyNumberFormat="1" applyFont="1" applyFill="1" applyBorder="1" applyAlignment="1">
      <alignment horizontal="center" vertical="center" wrapText="1"/>
    </xf>
    <xf numFmtId="0" fontId="3" fillId="32" borderId="44" xfId="0" applyFont="1" applyFill="1" applyBorder="1" applyAlignment="1">
      <alignment horizontal="center" vertical="center" wrapText="1"/>
    </xf>
    <xf numFmtId="167" fontId="3" fillId="32" borderId="1" xfId="0" applyNumberFormat="1" applyFont="1" applyFill="1" applyBorder="1" applyAlignment="1">
      <alignment horizontal="center" vertical="center" wrapText="1"/>
    </xf>
    <xf numFmtId="0" fontId="3" fillId="0" borderId="0" xfId="0" applyFont="1" applyAlignment="1">
      <alignment horizontal="center" vertical="center" wrapText="1"/>
    </xf>
    <xf numFmtId="0" fontId="3" fillId="0" borderId="0" xfId="0" applyFont="1" applyBorder="1" applyAlignment="1">
      <alignment horizontal="center" vertical="center" wrapText="1"/>
    </xf>
    <xf numFmtId="0" fontId="6" fillId="32" borderId="19" xfId="0" applyFont="1" applyFill="1" applyBorder="1" applyAlignment="1">
      <alignment horizontal="center" vertical="center" wrapText="1"/>
    </xf>
    <xf numFmtId="0" fontId="6" fillId="32" borderId="22" xfId="0" applyFont="1" applyFill="1" applyBorder="1" applyAlignment="1">
      <alignment horizontal="center" vertical="center" wrapText="1"/>
    </xf>
    <xf numFmtId="0" fontId="6" fillId="32" borderId="20" xfId="0" applyFont="1" applyFill="1" applyBorder="1" applyAlignment="1">
      <alignment horizontal="center" vertical="center" wrapText="1"/>
    </xf>
    <xf numFmtId="167" fontId="3" fillId="32" borderId="30" xfId="0" applyNumberFormat="1" applyFont="1" applyFill="1" applyBorder="1" applyAlignment="1">
      <alignment horizontal="center" vertical="center" wrapText="1"/>
    </xf>
    <xf numFmtId="0" fontId="3" fillId="32" borderId="36" xfId="0" applyFont="1" applyFill="1" applyBorder="1" applyAlignment="1">
      <alignment horizontal="center" vertical="center" wrapText="1"/>
    </xf>
    <xf numFmtId="2" fontId="3" fillId="32" borderId="39" xfId="0" applyNumberFormat="1" applyFont="1" applyFill="1" applyBorder="1" applyAlignment="1">
      <alignment horizontal="center" vertical="center" wrapText="1"/>
    </xf>
    <xf numFmtId="9" fontId="3" fillId="32" borderId="40" xfId="11" applyFont="1" applyFill="1" applyBorder="1" applyAlignment="1">
      <alignment horizontal="center" vertical="center" wrapText="1"/>
    </xf>
    <xf numFmtId="9" fontId="3" fillId="32" borderId="41" xfId="11" applyFont="1" applyFill="1" applyBorder="1" applyAlignment="1">
      <alignment horizontal="center" vertical="center" wrapText="1"/>
    </xf>
    <xf numFmtId="0" fontId="3" fillId="32" borderId="32" xfId="0" applyFont="1" applyFill="1" applyBorder="1" applyAlignment="1">
      <alignment horizontal="center" vertical="center" wrapText="1"/>
    </xf>
    <xf numFmtId="0" fontId="3" fillId="32" borderId="43" xfId="0" applyFont="1" applyFill="1" applyBorder="1" applyAlignment="1">
      <alignment horizontal="center" vertical="center" wrapText="1"/>
    </xf>
    <xf numFmtId="0" fontId="3" fillId="32" borderId="37" xfId="0" applyFont="1" applyFill="1" applyBorder="1" applyAlignment="1">
      <alignment horizontal="center" vertical="center" wrapText="1"/>
    </xf>
    <xf numFmtId="2" fontId="3" fillId="32" borderId="43" xfId="0" applyNumberFormat="1" applyFont="1" applyFill="1" applyBorder="1" applyAlignment="1">
      <alignment horizontal="center" vertical="center" wrapText="1"/>
    </xf>
    <xf numFmtId="9" fontId="3" fillId="32" borderId="44" xfId="11" applyFont="1" applyFill="1" applyBorder="1" applyAlignment="1">
      <alignment horizontal="center" vertical="center" wrapText="1"/>
    </xf>
    <xf numFmtId="9" fontId="3" fillId="32" borderId="37" xfId="0" applyNumberFormat="1" applyFont="1" applyFill="1" applyBorder="1" applyAlignment="1">
      <alignment horizontal="center" vertical="center" wrapText="1"/>
    </xf>
    <xf numFmtId="0" fontId="6" fillId="32" borderId="58" xfId="0" applyFont="1" applyFill="1" applyBorder="1" applyAlignment="1">
      <alignment horizontal="center" vertical="center" wrapText="1"/>
    </xf>
    <xf numFmtId="0" fontId="6" fillId="32" borderId="35" xfId="0" applyFont="1" applyFill="1" applyBorder="1" applyAlignment="1">
      <alignment horizontal="center" vertical="center" wrapText="1"/>
    </xf>
    <xf numFmtId="0" fontId="6" fillId="32" borderId="56" xfId="0" applyFont="1" applyFill="1" applyBorder="1" applyAlignment="1">
      <alignment horizontal="center" vertical="center" wrapText="1"/>
    </xf>
    <xf numFmtId="0" fontId="6" fillId="32" borderId="39" xfId="0" applyFont="1" applyFill="1" applyBorder="1" applyAlignment="1">
      <alignment horizontal="center" vertical="center" wrapText="1"/>
    </xf>
    <xf numFmtId="0" fontId="6" fillId="32" borderId="40" xfId="0" applyFont="1" applyFill="1" applyBorder="1" applyAlignment="1">
      <alignment horizontal="center" vertical="center" wrapText="1"/>
    </xf>
    <xf numFmtId="0" fontId="6" fillId="32" borderId="41" xfId="0" applyFont="1" applyFill="1" applyBorder="1" applyAlignment="1">
      <alignment horizontal="center" vertical="center" wrapText="1"/>
    </xf>
    <xf numFmtId="0" fontId="6" fillId="32" borderId="32" xfId="0" applyFont="1" applyFill="1" applyBorder="1" applyAlignment="1">
      <alignment horizontal="center" vertical="center" wrapText="1"/>
    </xf>
    <xf numFmtId="0" fontId="6" fillId="32" borderId="9" xfId="0" applyFont="1" applyFill="1" applyBorder="1" applyAlignment="1">
      <alignment horizontal="center" vertical="center" wrapText="1"/>
    </xf>
    <xf numFmtId="0" fontId="6" fillId="32" borderId="34" xfId="0" applyFont="1" applyFill="1" applyBorder="1" applyAlignment="1">
      <alignment horizontal="center" vertical="center" wrapText="1"/>
    </xf>
    <xf numFmtId="0" fontId="19" fillId="17" borderId="6" xfId="0" applyFont="1" applyFill="1" applyBorder="1" applyAlignment="1" applyProtection="1">
      <alignment horizontal="center" vertical="center" wrapText="1"/>
      <protection hidden="1"/>
    </xf>
    <xf numFmtId="0" fontId="19" fillId="17" borderId="8" xfId="0" applyFont="1" applyFill="1" applyBorder="1" applyAlignment="1" applyProtection="1">
      <alignment horizontal="center" vertical="center" wrapText="1"/>
      <protection hidden="1"/>
    </xf>
    <xf numFmtId="0" fontId="5" fillId="0" borderId="0" xfId="0" applyFont="1" applyFill="1" applyBorder="1" applyAlignment="1" applyProtection="1">
      <alignment horizontal="center" vertical="center" wrapText="1"/>
      <protection hidden="1"/>
    </xf>
    <xf numFmtId="0" fontId="19" fillId="17" borderId="6" xfId="0" applyFont="1" applyFill="1" applyBorder="1" applyAlignment="1" applyProtection="1">
      <alignment horizontal="center" vertical="center"/>
      <protection hidden="1"/>
    </xf>
    <xf numFmtId="0" fontId="19" fillId="17" borderId="7" xfId="0" applyFont="1" applyFill="1" applyBorder="1" applyAlignment="1" applyProtection="1">
      <alignment horizontal="center" vertical="center"/>
      <protection hidden="1"/>
    </xf>
    <xf numFmtId="0" fontId="19" fillId="17" borderId="8" xfId="0" applyFont="1" applyFill="1" applyBorder="1" applyAlignment="1" applyProtection="1">
      <alignment horizontal="center" vertical="center"/>
      <protection hidden="1"/>
    </xf>
    <xf numFmtId="0" fontId="19" fillId="18" borderId="6" xfId="0" applyFont="1" applyFill="1" applyBorder="1" applyAlignment="1" applyProtection="1">
      <alignment horizontal="center" vertical="center" wrapText="1"/>
      <protection hidden="1"/>
    </xf>
    <xf numFmtId="0" fontId="19" fillId="18" borderId="7" xfId="0" applyFont="1" applyFill="1" applyBorder="1" applyAlignment="1" applyProtection="1">
      <alignment horizontal="center" vertical="center" wrapText="1"/>
      <protection hidden="1"/>
    </xf>
    <xf numFmtId="0" fontId="19" fillId="18" borderId="8" xfId="0" applyFont="1" applyFill="1" applyBorder="1" applyAlignment="1" applyProtection="1">
      <alignment horizontal="center" vertical="center" wrapText="1"/>
      <protection hidden="1"/>
    </xf>
    <xf numFmtId="169" fontId="5" fillId="31" borderId="9" xfId="0" applyNumberFormat="1" applyFont="1" applyFill="1" applyBorder="1" applyAlignment="1" applyProtection="1">
      <alignment horizontal="center" vertical="center" wrapText="1"/>
      <protection hidden="1"/>
    </xf>
    <xf numFmtId="0" fontId="50" fillId="31" borderId="9" xfId="0" applyFont="1" applyFill="1" applyBorder="1" applyAlignment="1" applyProtection="1">
      <alignment horizontal="center" vertical="center" wrapText="1"/>
      <protection hidden="1"/>
    </xf>
    <xf numFmtId="0" fontId="50" fillId="31" borderId="44" xfId="0" applyFont="1" applyFill="1" applyBorder="1" applyAlignment="1" applyProtection="1">
      <alignment horizontal="center" vertical="center" wrapText="1"/>
      <protection hidden="1"/>
    </xf>
    <xf numFmtId="169" fontId="5" fillId="31" borderId="34" xfId="0" applyNumberFormat="1" applyFont="1" applyFill="1" applyBorder="1" applyAlignment="1" applyProtection="1">
      <alignment horizontal="center" vertical="center" wrapText="1"/>
      <protection hidden="1"/>
    </xf>
    <xf numFmtId="0" fontId="50" fillId="31" borderId="34" xfId="0" applyFont="1" applyFill="1" applyBorder="1" applyAlignment="1" applyProtection="1">
      <alignment horizontal="center" vertical="center" wrapText="1"/>
      <protection hidden="1"/>
    </xf>
    <xf numFmtId="0" fontId="50" fillId="31" borderId="37" xfId="0" applyFont="1" applyFill="1" applyBorder="1" applyAlignment="1" applyProtection="1">
      <alignment horizontal="center" vertical="center" wrapText="1"/>
      <protection hidden="1"/>
    </xf>
    <xf numFmtId="0" fontId="5" fillId="31" borderId="41" xfId="0" applyFont="1" applyFill="1" applyBorder="1" applyAlignment="1" applyProtection="1">
      <alignment horizontal="center" vertical="center" wrapText="1"/>
      <protection hidden="1"/>
    </xf>
    <xf numFmtId="0" fontId="5" fillId="31" borderId="34" xfId="0" applyFont="1" applyFill="1" applyBorder="1" applyAlignment="1" applyProtection="1">
      <alignment horizontal="center" vertical="center" wrapText="1"/>
      <protection hidden="1"/>
    </xf>
    <xf numFmtId="0" fontId="5" fillId="31" borderId="60" xfId="0" applyFont="1" applyFill="1" applyBorder="1" applyAlignment="1" applyProtection="1">
      <alignment horizontal="center" vertical="center" wrapText="1"/>
      <protection hidden="1"/>
    </xf>
    <xf numFmtId="169" fontId="24" fillId="14" borderId="40" xfId="0" applyNumberFormat="1" applyFont="1" applyFill="1" applyBorder="1" applyAlignment="1">
      <alignment horizontal="center" vertical="center" wrapText="1"/>
    </xf>
    <xf numFmtId="0" fontId="60" fillId="14" borderId="9" xfId="0" applyFont="1" applyFill="1" applyBorder="1" applyAlignment="1">
      <alignment horizontal="center" vertical="center" wrapText="1"/>
    </xf>
    <xf numFmtId="169" fontId="5" fillId="31" borderId="40" xfId="0" applyNumberFormat="1" applyFont="1" applyFill="1" applyBorder="1" applyAlignment="1" applyProtection="1">
      <alignment horizontal="center" vertical="center" wrapText="1"/>
      <protection hidden="1"/>
    </xf>
    <xf numFmtId="0" fontId="5" fillId="31" borderId="37" xfId="0" applyFont="1" applyFill="1" applyBorder="1" applyAlignment="1" applyProtection="1">
      <alignment horizontal="center" vertical="center" wrapText="1"/>
      <protection hidden="1"/>
    </xf>
    <xf numFmtId="169" fontId="24" fillId="31" borderId="9" xfId="0" applyNumberFormat="1" applyFont="1" applyFill="1" applyBorder="1" applyAlignment="1">
      <alignment horizontal="center" vertical="center" wrapText="1"/>
    </xf>
    <xf numFmtId="0" fontId="60" fillId="31" borderId="9" xfId="0" applyFont="1" applyFill="1" applyBorder="1" applyAlignment="1">
      <alignment horizontal="center" vertical="center" wrapText="1"/>
    </xf>
    <xf numFmtId="0" fontId="60" fillId="31" borderId="44" xfId="0" applyFont="1" applyFill="1" applyBorder="1" applyAlignment="1">
      <alignment horizontal="center" vertical="center" wrapText="1"/>
    </xf>
    <xf numFmtId="169" fontId="37" fillId="14" borderId="67" xfId="0" applyNumberFormat="1" applyFont="1" applyFill="1" applyBorder="1" applyAlignment="1">
      <alignment horizontal="center" vertical="center" wrapText="1"/>
    </xf>
    <xf numFmtId="169" fontId="37" fillId="14" borderId="15" xfId="0" applyNumberFormat="1" applyFont="1" applyFill="1" applyBorder="1" applyAlignment="1">
      <alignment horizontal="center" vertical="center" wrapText="1"/>
    </xf>
    <xf numFmtId="169" fontId="37" fillId="14" borderId="53" xfId="0" applyNumberFormat="1" applyFont="1" applyFill="1" applyBorder="1" applyAlignment="1">
      <alignment horizontal="center" vertical="center" wrapText="1"/>
    </xf>
    <xf numFmtId="0" fontId="37" fillId="14" borderId="73" xfId="0" applyFont="1" applyFill="1" applyBorder="1" applyAlignment="1">
      <alignment horizontal="center" vertical="center" wrapText="1"/>
    </xf>
    <xf numFmtId="0" fontId="37" fillId="14" borderId="65" xfId="0" applyFont="1" applyFill="1" applyBorder="1" applyAlignment="1">
      <alignment horizontal="center" vertical="center" wrapText="1"/>
    </xf>
    <xf numFmtId="0" fontId="37" fillId="14" borderId="78" xfId="0" applyFont="1" applyFill="1" applyBorder="1" applyAlignment="1">
      <alignment horizontal="center" vertical="center" wrapText="1"/>
    </xf>
    <xf numFmtId="169" fontId="5" fillId="31" borderId="44" xfId="0" applyNumberFormat="1" applyFont="1" applyFill="1" applyBorder="1" applyAlignment="1" applyProtection="1">
      <alignment horizontal="center" vertical="center" wrapText="1"/>
      <protection hidden="1"/>
    </xf>
    <xf numFmtId="0" fontId="6" fillId="5" borderId="22" xfId="0" applyFont="1" applyFill="1" applyBorder="1" applyAlignment="1" applyProtection="1">
      <alignment horizontal="center" vertical="center" wrapText="1"/>
      <protection hidden="1"/>
    </xf>
    <xf numFmtId="0" fontId="6" fillId="30" borderId="71" xfId="0" applyFont="1" applyFill="1" applyBorder="1" applyAlignment="1" applyProtection="1">
      <alignment horizontal="center" vertical="center" textRotation="90"/>
      <protection hidden="1"/>
    </xf>
    <xf numFmtId="0" fontId="6" fillId="30" borderId="70" xfId="0" applyFont="1" applyFill="1" applyBorder="1" applyAlignment="1" applyProtection="1">
      <alignment horizontal="center" vertical="center" textRotation="90"/>
      <protection hidden="1"/>
    </xf>
    <xf numFmtId="0" fontId="6" fillId="30" borderId="10" xfId="0" applyFont="1" applyFill="1" applyBorder="1" applyAlignment="1" applyProtection="1">
      <alignment horizontal="center" vertical="center" textRotation="90"/>
      <protection hidden="1"/>
    </xf>
    <xf numFmtId="0" fontId="6" fillId="30" borderId="47" xfId="0" applyFont="1" applyFill="1" applyBorder="1" applyAlignment="1" applyProtection="1">
      <alignment horizontal="center" vertical="center" textRotation="90"/>
      <protection hidden="1"/>
    </xf>
    <xf numFmtId="0" fontId="6" fillId="29" borderId="32" xfId="0" applyFont="1" applyFill="1" applyBorder="1" applyAlignment="1" applyProtection="1">
      <alignment horizontal="center" vertical="center"/>
      <protection hidden="1"/>
    </xf>
    <xf numFmtId="0" fontId="6" fillId="29" borderId="9" xfId="0" applyFont="1" applyFill="1" applyBorder="1" applyAlignment="1" applyProtection="1">
      <alignment horizontal="center" vertical="center"/>
      <protection hidden="1"/>
    </xf>
    <xf numFmtId="0" fontId="5" fillId="31" borderId="32" xfId="0" applyFont="1" applyFill="1" applyBorder="1" applyAlignment="1" applyProtection="1">
      <alignment horizontal="center" vertical="center" wrapText="1"/>
      <protection hidden="1"/>
    </xf>
    <xf numFmtId="0" fontId="50" fillId="31" borderId="32" xfId="0" applyFont="1" applyFill="1" applyBorder="1" applyAlignment="1" applyProtection="1">
      <alignment horizontal="center" vertical="center" wrapText="1"/>
      <protection hidden="1"/>
    </xf>
    <xf numFmtId="0" fontId="19" fillId="17" borderId="3" xfId="0" applyFont="1" applyFill="1" applyBorder="1" applyAlignment="1" applyProtection="1">
      <alignment horizontal="center" vertical="center"/>
      <protection hidden="1"/>
    </xf>
    <xf numFmtId="0" fontId="19" fillId="17" borderId="4" xfId="0" applyFont="1" applyFill="1" applyBorder="1" applyAlignment="1" applyProtection="1">
      <alignment horizontal="center" vertical="center"/>
      <protection hidden="1"/>
    </xf>
    <xf numFmtId="0" fontId="5" fillId="30" borderId="71" xfId="0" applyFont="1" applyFill="1" applyBorder="1" applyAlignment="1" applyProtection="1">
      <alignment horizontal="center" vertical="center" textRotation="90" wrapText="1"/>
      <protection hidden="1"/>
    </xf>
    <xf numFmtId="0" fontId="5" fillId="30" borderId="70" xfId="0" applyFont="1" applyFill="1" applyBorder="1" applyAlignment="1" applyProtection="1">
      <alignment horizontal="center" vertical="center" textRotation="90" wrapText="1"/>
      <protection hidden="1"/>
    </xf>
    <xf numFmtId="0" fontId="5" fillId="30" borderId="50" xfId="0" applyFont="1" applyFill="1" applyBorder="1" applyAlignment="1" applyProtection="1">
      <alignment horizontal="center" vertical="center" textRotation="90" wrapText="1"/>
      <protection hidden="1"/>
    </xf>
    <xf numFmtId="0" fontId="5" fillId="29" borderId="40" xfId="0" applyFont="1" applyFill="1" applyBorder="1" applyAlignment="1" applyProtection="1">
      <alignment horizontal="center" vertical="center"/>
      <protection hidden="1"/>
    </xf>
    <xf numFmtId="0" fontId="5" fillId="29" borderId="9" xfId="0" applyFont="1" applyFill="1" applyBorder="1" applyAlignment="1" applyProtection="1">
      <alignment horizontal="center" vertical="center"/>
      <protection hidden="1"/>
    </xf>
    <xf numFmtId="0" fontId="5" fillId="29" borderId="44" xfId="0" applyFont="1" applyFill="1" applyBorder="1" applyAlignment="1" applyProtection="1">
      <alignment horizontal="center" vertical="center"/>
      <protection hidden="1"/>
    </xf>
    <xf numFmtId="0" fontId="6" fillId="29" borderId="43" xfId="0" applyFont="1" applyFill="1" applyBorder="1" applyAlignment="1" applyProtection="1">
      <alignment horizontal="center" vertical="center"/>
      <protection hidden="1"/>
    </xf>
    <xf numFmtId="0" fontId="6" fillId="29" borderId="44" xfId="0" applyFont="1" applyFill="1" applyBorder="1" applyAlignment="1" applyProtection="1">
      <alignment horizontal="center" vertical="center"/>
      <protection hidden="1"/>
    </xf>
    <xf numFmtId="1" fontId="5" fillId="31" borderId="32" xfId="0" applyNumberFormat="1" applyFont="1" applyFill="1" applyBorder="1" applyAlignment="1" applyProtection="1">
      <alignment horizontal="center" vertical="center" wrapText="1"/>
      <protection hidden="1"/>
    </xf>
    <xf numFmtId="1" fontId="50" fillId="31" borderId="32" xfId="0" applyNumberFormat="1" applyFont="1" applyFill="1" applyBorder="1" applyAlignment="1" applyProtection="1">
      <alignment horizontal="center" vertical="center" wrapText="1"/>
      <protection hidden="1"/>
    </xf>
    <xf numFmtId="1" fontId="50" fillId="31" borderId="43" xfId="0" applyNumberFormat="1" applyFont="1" applyFill="1" applyBorder="1" applyAlignment="1" applyProtection="1">
      <alignment horizontal="center" vertical="center" wrapText="1"/>
      <protection hidden="1"/>
    </xf>
    <xf numFmtId="0" fontId="5" fillId="31" borderId="39" xfId="0" applyFont="1" applyFill="1" applyBorder="1" applyAlignment="1" applyProtection="1">
      <alignment horizontal="center" vertical="center" wrapText="1"/>
      <protection hidden="1"/>
    </xf>
    <xf numFmtId="0" fontId="6" fillId="29" borderId="39" xfId="0" applyFont="1" applyFill="1" applyBorder="1" applyAlignment="1" applyProtection="1">
      <alignment horizontal="center" vertical="center"/>
      <protection hidden="1"/>
    </xf>
    <xf numFmtId="0" fontId="5" fillId="29" borderId="32" xfId="0" applyFont="1" applyFill="1" applyBorder="1" applyAlignment="1" applyProtection="1">
      <alignment horizontal="center" vertical="center"/>
      <protection hidden="1"/>
    </xf>
    <xf numFmtId="3" fontId="5" fillId="30" borderId="72" xfId="0" applyNumberFormat="1" applyFont="1" applyFill="1" applyBorder="1" applyAlignment="1" applyProtection="1">
      <alignment horizontal="center" vertical="center" wrapText="1"/>
      <protection hidden="1"/>
    </xf>
    <xf numFmtId="3" fontId="5" fillId="30" borderId="51" xfId="0" applyNumberFormat="1" applyFont="1" applyFill="1" applyBorder="1" applyAlignment="1" applyProtection="1">
      <alignment horizontal="center" vertical="center" wrapText="1"/>
      <protection hidden="1"/>
    </xf>
    <xf numFmtId="3" fontId="5" fillId="30" borderId="45" xfId="0" applyNumberFormat="1" applyFont="1" applyFill="1" applyBorder="1" applyAlignment="1" applyProtection="1">
      <alignment horizontal="center" vertical="center" wrapText="1"/>
      <protection hidden="1"/>
    </xf>
    <xf numFmtId="0" fontId="5" fillId="30" borderId="67" xfId="0" applyFont="1" applyFill="1" applyBorder="1" applyAlignment="1" applyProtection="1">
      <alignment horizontal="center" vertical="center" wrapText="1"/>
      <protection hidden="1"/>
    </xf>
    <xf numFmtId="0" fontId="50" fillId="30" borderId="15" xfId="0" applyFont="1" applyFill="1" applyBorder="1" applyAlignment="1" applyProtection="1">
      <alignment horizontal="center" vertical="center" wrapText="1"/>
      <protection hidden="1"/>
    </xf>
    <xf numFmtId="0" fontId="50" fillId="30" borderId="53" xfId="0" applyFont="1" applyFill="1" applyBorder="1" applyAlignment="1" applyProtection="1">
      <alignment horizontal="center" vertical="center" wrapText="1"/>
      <protection hidden="1"/>
    </xf>
    <xf numFmtId="169" fontId="5" fillId="31" borderId="12" xfId="0" applyNumberFormat="1" applyFont="1" applyFill="1" applyBorder="1" applyAlignment="1" applyProtection="1">
      <alignment horizontal="center" vertical="center"/>
      <protection hidden="1"/>
    </xf>
    <xf numFmtId="169" fontId="5" fillId="31" borderId="15" xfId="0" applyNumberFormat="1" applyFont="1" applyFill="1" applyBorder="1" applyAlignment="1" applyProtection="1">
      <alignment horizontal="center" vertical="center"/>
      <protection hidden="1"/>
    </xf>
    <xf numFmtId="169" fontId="5" fillId="31" borderId="18" xfId="0" applyNumberFormat="1" applyFont="1" applyFill="1" applyBorder="1" applyAlignment="1" applyProtection="1">
      <alignment horizontal="center" vertical="center"/>
      <protection hidden="1"/>
    </xf>
    <xf numFmtId="169" fontId="5" fillId="31" borderId="53" xfId="0" applyNumberFormat="1" applyFont="1" applyFill="1" applyBorder="1" applyAlignment="1" applyProtection="1">
      <alignment horizontal="center" vertical="center"/>
      <protection hidden="1"/>
    </xf>
    <xf numFmtId="0" fontId="5" fillId="31" borderId="26" xfId="0" applyFont="1" applyFill="1" applyBorder="1" applyAlignment="1" applyProtection="1">
      <alignment horizontal="center" vertical="center"/>
      <protection hidden="1"/>
    </xf>
    <xf numFmtId="0" fontId="5" fillId="31" borderId="16" xfId="0" applyFont="1" applyFill="1" applyBorder="1" applyAlignment="1" applyProtection="1">
      <alignment horizontal="center" vertical="center"/>
      <protection hidden="1"/>
    </xf>
    <xf numFmtId="0" fontId="5" fillId="31" borderId="64" xfId="0" applyFont="1" applyFill="1" applyBorder="1" applyAlignment="1" applyProtection="1">
      <alignment horizontal="center" vertical="center"/>
      <protection hidden="1"/>
    </xf>
    <xf numFmtId="0" fontId="5" fillId="31" borderId="60" xfId="0" applyFont="1" applyFill="1" applyBorder="1" applyAlignment="1" applyProtection="1">
      <alignment horizontal="center" vertical="center"/>
      <protection hidden="1"/>
    </xf>
    <xf numFmtId="0" fontId="5" fillId="31" borderId="65" xfId="0" applyFont="1" applyFill="1" applyBorder="1" applyAlignment="1" applyProtection="1">
      <alignment horizontal="center" vertical="center"/>
      <protection hidden="1"/>
    </xf>
    <xf numFmtId="0" fontId="5" fillId="31" borderId="78" xfId="0" applyFont="1" applyFill="1" applyBorder="1" applyAlignment="1" applyProtection="1">
      <alignment horizontal="center" vertical="center"/>
      <protection hidden="1"/>
    </xf>
    <xf numFmtId="0" fontId="5" fillId="31" borderId="36" xfId="0" applyFont="1" applyFill="1" applyBorder="1" applyAlignment="1" applyProtection="1">
      <alignment horizontal="center" vertical="center" wrapText="1"/>
      <protection hidden="1"/>
    </xf>
    <xf numFmtId="14" fontId="5" fillId="31" borderId="60" xfId="0" applyNumberFormat="1" applyFont="1" applyFill="1" applyBorder="1" applyAlignment="1" applyProtection="1">
      <alignment horizontal="center" vertical="center"/>
      <protection hidden="1"/>
    </xf>
    <xf numFmtId="14" fontId="5" fillId="31" borderId="65" xfId="0" applyNumberFormat="1" applyFont="1" applyFill="1" applyBorder="1" applyAlignment="1" applyProtection="1">
      <alignment horizontal="center" vertical="center"/>
      <protection hidden="1"/>
    </xf>
    <xf numFmtId="14" fontId="5" fillId="31" borderId="36" xfId="0" applyNumberFormat="1" applyFont="1" applyFill="1" applyBorder="1" applyAlignment="1" applyProtection="1">
      <alignment horizontal="center" vertical="center"/>
      <protection hidden="1"/>
    </xf>
    <xf numFmtId="0" fontId="5" fillId="29" borderId="72" xfId="0" applyFont="1" applyFill="1" applyBorder="1" applyAlignment="1" applyProtection="1">
      <alignment horizontal="center" vertical="center" wrapText="1"/>
      <protection hidden="1"/>
    </xf>
    <xf numFmtId="0" fontId="5" fillId="29" borderId="51" xfId="0" applyFont="1" applyFill="1" applyBorder="1" applyAlignment="1" applyProtection="1">
      <alignment horizontal="center" vertical="center" wrapText="1"/>
      <protection hidden="1"/>
    </xf>
    <xf numFmtId="0" fontId="5" fillId="29" borderId="45" xfId="0" applyFont="1" applyFill="1" applyBorder="1" applyAlignment="1" applyProtection="1">
      <alignment horizontal="center" vertical="center" wrapText="1"/>
      <protection hidden="1"/>
    </xf>
    <xf numFmtId="3" fontId="5" fillId="29" borderId="29" xfId="0" applyNumberFormat="1" applyFont="1" applyFill="1" applyBorder="1" applyAlignment="1" applyProtection="1">
      <alignment horizontal="center" vertical="center" wrapText="1"/>
      <protection hidden="1"/>
    </xf>
    <xf numFmtId="0" fontId="50" fillId="29" borderId="24" xfId="0" applyFont="1" applyFill="1" applyBorder="1" applyAlignment="1" applyProtection="1">
      <alignment horizontal="center" vertical="center" wrapText="1"/>
      <protection hidden="1"/>
    </xf>
    <xf numFmtId="0" fontId="50" fillId="29" borderId="15" xfId="0" applyFont="1" applyFill="1" applyBorder="1" applyAlignment="1" applyProtection="1">
      <alignment horizontal="center" vertical="center" wrapText="1"/>
      <protection hidden="1"/>
    </xf>
    <xf numFmtId="0" fontId="50" fillId="29" borderId="53" xfId="0" applyFont="1" applyFill="1" applyBorder="1" applyAlignment="1" applyProtection="1">
      <alignment horizontal="center" vertical="center" wrapText="1"/>
      <protection hidden="1"/>
    </xf>
    <xf numFmtId="0" fontId="24" fillId="14" borderId="48" xfId="0" applyFont="1" applyFill="1" applyBorder="1" applyAlignment="1">
      <alignment horizontal="center" vertical="center" wrapText="1"/>
    </xf>
    <xf numFmtId="0" fontId="60" fillId="14" borderId="14" xfId="0" applyFont="1" applyFill="1" applyBorder="1" applyAlignment="1">
      <alignment horizontal="center" vertical="center" wrapText="1"/>
    </xf>
    <xf numFmtId="169" fontId="5" fillId="31" borderId="18" xfId="0" applyNumberFormat="1" applyFont="1" applyFill="1" applyBorder="1" applyAlignment="1" applyProtection="1">
      <alignment horizontal="center" vertical="center" wrapText="1"/>
      <protection hidden="1"/>
    </xf>
    <xf numFmtId="0" fontId="5" fillId="29" borderId="67" xfId="0" applyFont="1" applyFill="1" applyBorder="1" applyAlignment="1" applyProtection="1">
      <alignment horizontal="center" vertical="center" wrapText="1"/>
      <protection hidden="1"/>
    </xf>
    <xf numFmtId="0" fontId="6" fillId="29" borderId="2" xfId="0" applyFont="1" applyFill="1" applyBorder="1" applyAlignment="1" applyProtection="1">
      <alignment horizontal="center" vertical="center"/>
      <protection hidden="1"/>
    </xf>
    <xf numFmtId="0" fontId="6" fillId="29" borderId="3" xfId="0" applyFont="1" applyFill="1" applyBorder="1" applyAlignment="1" applyProtection="1">
      <alignment horizontal="center" vertical="center"/>
      <protection hidden="1"/>
    </xf>
    <xf numFmtId="0" fontId="6" fillId="29" borderId="10" xfId="0" applyFont="1" applyFill="1" applyBorder="1" applyAlignment="1" applyProtection="1">
      <alignment horizontal="center" vertical="center"/>
      <protection hidden="1"/>
    </xf>
    <xf numFmtId="0" fontId="6" fillId="29" borderId="0" xfId="0" applyFont="1" applyFill="1" applyBorder="1" applyAlignment="1" applyProtection="1">
      <alignment horizontal="center" vertical="center"/>
      <protection hidden="1"/>
    </xf>
    <xf numFmtId="0" fontId="6" fillId="29" borderId="47" xfId="0" applyFont="1" applyFill="1" applyBorder="1" applyAlignment="1" applyProtection="1">
      <alignment horizontal="center" vertical="center"/>
      <protection hidden="1"/>
    </xf>
    <xf numFmtId="0" fontId="6" fillId="29" borderId="5" xfId="0" applyFont="1" applyFill="1" applyBorder="1" applyAlignment="1" applyProtection="1">
      <alignment horizontal="center" vertical="center"/>
      <protection hidden="1"/>
    </xf>
    <xf numFmtId="169" fontId="24" fillId="14" borderId="18" xfId="0" applyNumberFormat="1" applyFont="1" applyFill="1" applyBorder="1" applyAlignment="1">
      <alignment horizontal="center" vertical="center" wrapText="1"/>
    </xf>
    <xf numFmtId="167" fontId="5" fillId="31" borderId="32" xfId="0" applyNumberFormat="1" applyFont="1" applyFill="1" applyBorder="1" applyAlignment="1" applyProtection="1">
      <alignment horizontal="center" vertical="center" wrapText="1"/>
      <protection hidden="1"/>
    </xf>
    <xf numFmtId="167" fontId="50" fillId="31" borderId="32" xfId="0" applyNumberFormat="1" applyFont="1" applyFill="1" applyBorder="1" applyAlignment="1" applyProtection="1">
      <alignment horizontal="center" vertical="center" wrapText="1"/>
      <protection hidden="1"/>
    </xf>
    <xf numFmtId="3" fontId="5" fillId="31" borderId="32" xfId="0" applyNumberFormat="1" applyFont="1" applyFill="1" applyBorder="1" applyAlignment="1" applyProtection="1">
      <alignment horizontal="center" vertical="center" wrapText="1"/>
      <protection hidden="1"/>
    </xf>
    <xf numFmtId="0" fontId="50" fillId="31" borderId="43" xfId="0" applyFont="1" applyFill="1" applyBorder="1" applyAlignment="1" applyProtection="1">
      <alignment horizontal="center" vertical="center" wrapText="1"/>
      <protection hidden="1"/>
    </xf>
    <xf numFmtId="169" fontId="24" fillId="14" borderId="34" xfId="0" applyNumberFormat="1" applyFont="1" applyFill="1" applyBorder="1" applyAlignment="1">
      <alignment horizontal="center" vertical="center" wrapText="1"/>
    </xf>
    <xf numFmtId="0" fontId="60" fillId="14" borderId="34" xfId="0" applyFont="1" applyFill="1" applyBorder="1" applyAlignment="1">
      <alignment horizontal="center" vertical="center" wrapText="1"/>
    </xf>
    <xf numFmtId="0" fontId="6" fillId="30" borderId="10" xfId="0" applyFont="1" applyFill="1" applyBorder="1" applyAlignment="1" applyProtection="1">
      <alignment horizontal="center" vertical="center"/>
      <protection hidden="1"/>
    </xf>
    <xf numFmtId="0" fontId="6" fillId="30" borderId="49" xfId="0" applyFont="1" applyFill="1" applyBorder="1" applyAlignment="1" applyProtection="1">
      <alignment horizontal="center" vertical="center"/>
      <protection hidden="1"/>
    </xf>
    <xf numFmtId="0" fontId="6" fillId="30" borderId="2" xfId="0" applyFont="1" applyFill="1" applyBorder="1" applyAlignment="1" applyProtection="1">
      <alignment horizontal="center" vertical="center"/>
      <protection hidden="1"/>
    </xf>
    <xf numFmtId="0" fontId="6" fillId="30" borderId="4" xfId="0" applyFont="1" applyFill="1" applyBorder="1" applyAlignment="1" applyProtection="1">
      <alignment horizontal="center" vertical="center"/>
      <protection hidden="1"/>
    </xf>
    <xf numFmtId="0" fontId="6" fillId="30" borderId="47" xfId="0" applyFont="1" applyFill="1" applyBorder="1" applyAlignment="1" applyProtection="1">
      <alignment horizontal="center" vertical="center"/>
      <protection hidden="1"/>
    </xf>
    <xf numFmtId="0" fontId="6" fillId="30" borderId="38" xfId="0" applyFont="1" applyFill="1" applyBorder="1" applyAlignment="1" applyProtection="1">
      <alignment horizontal="center" vertical="center"/>
      <protection hidden="1"/>
    </xf>
    <xf numFmtId="0" fontId="6" fillId="29" borderId="2" xfId="0" applyFont="1" applyFill="1" applyBorder="1" applyAlignment="1" applyProtection="1">
      <alignment horizontal="center" vertical="center" wrapText="1"/>
      <protection hidden="1"/>
    </xf>
    <xf numFmtId="0" fontId="6" fillId="29" borderId="4" xfId="0" applyFont="1" applyFill="1" applyBorder="1" applyAlignment="1" applyProtection="1">
      <alignment horizontal="center" vertical="center" wrapText="1"/>
      <protection hidden="1"/>
    </xf>
    <xf numFmtId="0" fontId="6" fillId="29" borderId="10" xfId="0" applyFont="1" applyFill="1" applyBorder="1" applyAlignment="1" applyProtection="1">
      <alignment horizontal="center" vertical="center" wrapText="1"/>
      <protection hidden="1"/>
    </xf>
    <xf numFmtId="0" fontId="6" fillId="29" borderId="49" xfId="0" applyFont="1" applyFill="1" applyBorder="1" applyAlignment="1" applyProtection="1">
      <alignment horizontal="center" vertical="center" wrapText="1"/>
      <protection hidden="1"/>
    </xf>
    <xf numFmtId="0" fontId="6" fillId="29" borderId="47" xfId="0" applyFont="1" applyFill="1" applyBorder="1" applyAlignment="1" applyProtection="1">
      <alignment horizontal="center" vertical="center" wrapText="1"/>
      <protection hidden="1"/>
    </xf>
    <xf numFmtId="0" fontId="6" fillId="29" borderId="38" xfId="0" applyFont="1" applyFill="1" applyBorder="1" applyAlignment="1" applyProtection="1">
      <alignment horizontal="center" vertical="center" wrapText="1"/>
      <protection hidden="1"/>
    </xf>
    <xf numFmtId="0" fontId="6" fillId="29" borderId="4" xfId="0" applyFont="1" applyFill="1" applyBorder="1" applyAlignment="1" applyProtection="1">
      <alignment horizontal="center" vertical="center"/>
      <protection hidden="1"/>
    </xf>
    <xf numFmtId="0" fontId="6" fillId="29" borderId="49" xfId="0" applyFont="1" applyFill="1" applyBorder="1" applyAlignment="1" applyProtection="1">
      <alignment horizontal="center" vertical="center"/>
      <protection hidden="1"/>
    </xf>
    <xf numFmtId="0" fontId="6" fillId="29" borderId="38" xfId="0" applyFont="1" applyFill="1" applyBorder="1" applyAlignment="1" applyProtection="1">
      <alignment horizontal="center" vertical="center"/>
      <protection hidden="1"/>
    </xf>
    <xf numFmtId="0" fontId="6" fillId="30" borderId="68" xfId="0" applyFont="1" applyFill="1" applyBorder="1" applyAlignment="1" applyProtection="1">
      <alignment horizontal="center" vertical="center" textRotation="90" wrapText="1"/>
      <protection hidden="1"/>
    </xf>
    <xf numFmtId="0" fontId="6" fillId="30" borderId="66" xfId="0" applyFont="1" applyFill="1" applyBorder="1" applyAlignment="1" applyProtection="1">
      <alignment horizontal="center" vertical="center" textRotation="90" wrapText="1"/>
      <protection hidden="1"/>
    </xf>
    <xf numFmtId="0" fontId="6" fillId="30" borderId="69" xfId="0" applyFont="1" applyFill="1" applyBorder="1" applyAlignment="1" applyProtection="1">
      <alignment horizontal="center" vertical="center" textRotation="90" wrapText="1"/>
      <protection hidden="1"/>
    </xf>
    <xf numFmtId="0" fontId="55" fillId="17" borderId="6" xfId="0" applyFont="1" applyFill="1" applyBorder="1" applyAlignment="1" applyProtection="1">
      <alignment horizontal="center" vertical="center"/>
      <protection hidden="1"/>
    </xf>
    <xf numFmtId="0" fontId="55" fillId="17" borderId="7" xfId="0" applyFont="1" applyFill="1" applyBorder="1" applyAlignment="1" applyProtection="1">
      <alignment horizontal="center" vertical="center"/>
      <protection hidden="1"/>
    </xf>
    <xf numFmtId="0" fontId="55" fillId="17" borderId="8" xfId="0" applyFont="1" applyFill="1" applyBorder="1" applyAlignment="1" applyProtection="1">
      <alignment horizontal="center" vertical="center"/>
      <protection hidden="1"/>
    </xf>
    <xf numFmtId="0" fontId="55" fillId="17" borderId="3" xfId="0" applyFont="1" applyFill="1" applyBorder="1" applyAlignment="1" applyProtection="1">
      <alignment horizontal="center" vertical="center"/>
      <protection hidden="1"/>
    </xf>
    <xf numFmtId="0" fontId="55" fillId="17" borderId="4" xfId="0" applyFont="1" applyFill="1" applyBorder="1" applyAlignment="1" applyProtection="1">
      <alignment horizontal="center" vertical="center"/>
      <protection hidden="1"/>
    </xf>
    <xf numFmtId="0" fontId="5" fillId="30" borderId="40" xfId="0" applyFont="1" applyFill="1" applyBorder="1" applyAlignment="1" applyProtection="1">
      <alignment horizontal="center" vertical="center"/>
      <protection hidden="1"/>
    </xf>
    <xf numFmtId="0" fontId="5" fillId="30" borderId="9" xfId="0" applyFont="1" applyFill="1" applyBorder="1" applyAlignment="1" applyProtection="1">
      <alignment horizontal="center" vertical="center"/>
      <protection hidden="1"/>
    </xf>
    <xf numFmtId="0" fontId="5" fillId="30" borderId="44" xfId="0" applyFont="1" applyFill="1" applyBorder="1" applyAlignment="1" applyProtection="1">
      <alignment horizontal="center" vertical="center"/>
      <protection hidden="1"/>
    </xf>
    <xf numFmtId="14" fontId="5" fillId="31" borderId="34" xfId="0" applyNumberFormat="1" applyFont="1" applyFill="1" applyBorder="1" applyAlignment="1" applyProtection="1">
      <alignment horizontal="center" vertical="center" wrapText="1"/>
      <protection hidden="1"/>
    </xf>
    <xf numFmtId="169" fontId="24" fillId="31" borderId="34" xfId="0" applyNumberFormat="1" applyFont="1" applyFill="1" applyBorder="1" applyAlignment="1">
      <alignment horizontal="center" vertical="center" wrapText="1"/>
    </xf>
    <xf numFmtId="0" fontId="60" fillId="31" borderId="34" xfId="0" applyFont="1" applyFill="1" applyBorder="1" applyAlignment="1">
      <alignment horizontal="center" vertical="center" wrapText="1"/>
    </xf>
    <xf numFmtId="0" fontId="60" fillId="31" borderId="37" xfId="0" applyFont="1" applyFill="1" applyBorder="1" applyAlignment="1">
      <alignment horizontal="center" vertical="center" wrapText="1"/>
    </xf>
    <xf numFmtId="0" fontId="24" fillId="31" borderId="14" xfId="0" applyFont="1" applyFill="1" applyBorder="1" applyAlignment="1">
      <alignment horizontal="center" vertical="center" wrapText="1"/>
    </xf>
    <xf numFmtId="0" fontId="60" fillId="31" borderId="14" xfId="0" applyFont="1" applyFill="1" applyBorder="1" applyAlignment="1">
      <alignment horizontal="center" vertical="center" wrapText="1"/>
    </xf>
    <xf numFmtId="0" fontId="60" fillId="31" borderId="57" xfId="0" applyFont="1" applyFill="1" applyBorder="1" applyAlignment="1">
      <alignment horizontal="center" vertical="center" wrapText="1"/>
    </xf>
    <xf numFmtId="0" fontId="24" fillId="14" borderId="14" xfId="0" applyFont="1" applyFill="1" applyBorder="1" applyAlignment="1">
      <alignment horizontal="center" vertical="center" wrapText="1"/>
    </xf>
    <xf numFmtId="169" fontId="24" fillId="14" borderId="41" xfId="0" applyNumberFormat="1" applyFont="1" applyFill="1" applyBorder="1" applyAlignment="1">
      <alignment horizontal="center" vertical="center" wrapText="1"/>
    </xf>
    <xf numFmtId="49" fontId="5" fillId="29" borderId="29" xfId="0" applyNumberFormat="1" applyFont="1" applyFill="1" applyBorder="1" applyAlignment="1" applyProtection="1">
      <alignment horizontal="center" vertical="center" wrapText="1"/>
      <protection hidden="1"/>
    </xf>
    <xf numFmtId="167" fontId="5" fillId="31" borderId="39" xfId="0" applyNumberFormat="1" applyFont="1" applyFill="1" applyBorder="1" applyAlignment="1" applyProtection="1">
      <alignment horizontal="center" vertical="center" wrapText="1"/>
      <protection hidden="1"/>
    </xf>
    <xf numFmtId="14" fontId="5" fillId="31" borderId="40" xfId="0" applyNumberFormat="1" applyFont="1" applyFill="1" applyBorder="1" applyAlignment="1" applyProtection="1">
      <alignment horizontal="center" vertical="center"/>
      <protection hidden="1"/>
    </xf>
    <xf numFmtId="14" fontId="5" fillId="31" borderId="9" xfId="0" applyNumberFormat="1" applyFont="1" applyFill="1" applyBorder="1" applyAlignment="1" applyProtection="1">
      <alignment horizontal="center" vertical="center"/>
      <protection hidden="1"/>
    </xf>
    <xf numFmtId="14" fontId="5" fillId="31" borderId="44" xfId="0" applyNumberFormat="1" applyFont="1" applyFill="1" applyBorder="1" applyAlignment="1" applyProtection="1">
      <alignment horizontal="center" vertical="center"/>
      <protection hidden="1"/>
    </xf>
    <xf numFmtId="0" fontId="5" fillId="30" borderId="2" xfId="0" applyFont="1" applyFill="1" applyBorder="1" applyAlignment="1" applyProtection="1">
      <alignment horizontal="center" vertical="center" textRotation="90" wrapText="1"/>
      <protection hidden="1"/>
    </xf>
    <xf numFmtId="0" fontId="5" fillId="30" borderId="10" xfId="0" applyFont="1" applyFill="1" applyBorder="1" applyAlignment="1" applyProtection="1">
      <alignment horizontal="center" vertical="center" textRotation="90" wrapText="1"/>
      <protection hidden="1"/>
    </xf>
    <xf numFmtId="0" fontId="6" fillId="30" borderId="2" xfId="0" applyFont="1" applyFill="1" applyBorder="1" applyAlignment="1" applyProtection="1">
      <alignment horizontal="center" vertical="center" textRotation="90" wrapText="1"/>
      <protection hidden="1"/>
    </xf>
    <xf numFmtId="0" fontId="6" fillId="30" borderId="10" xfId="0" applyFont="1" applyFill="1" applyBorder="1" applyAlignment="1" applyProtection="1">
      <alignment horizontal="center" vertical="center" textRotation="90" wrapText="1"/>
      <protection hidden="1"/>
    </xf>
    <xf numFmtId="0" fontId="6" fillId="30" borderId="47" xfId="0" applyFont="1" applyFill="1" applyBorder="1" applyAlignment="1" applyProtection="1">
      <alignment horizontal="center" vertical="center" textRotation="90" wrapText="1"/>
      <protection hidden="1"/>
    </xf>
    <xf numFmtId="0" fontId="5" fillId="0" borderId="0" xfId="0" applyFont="1" applyFill="1" applyBorder="1" applyAlignment="1" applyProtection="1">
      <alignment horizontal="center" vertical="center"/>
      <protection hidden="1"/>
    </xf>
    <xf numFmtId="169" fontId="5" fillId="31" borderId="12" xfId="0" applyNumberFormat="1" applyFont="1" applyFill="1" applyBorder="1" applyAlignment="1" applyProtection="1">
      <alignment horizontal="center" vertical="center" wrapText="1"/>
      <protection hidden="1"/>
    </xf>
    <xf numFmtId="0" fontId="5" fillId="31" borderId="17" xfId="0" applyFont="1" applyFill="1" applyBorder="1" applyAlignment="1" applyProtection="1">
      <alignment horizontal="center" vertical="center"/>
      <protection hidden="1"/>
    </xf>
    <xf numFmtId="0" fontId="6" fillId="26" borderId="41" xfId="0" applyFont="1" applyFill="1" applyBorder="1" applyAlignment="1" applyProtection="1">
      <alignment horizontal="center" vertical="center" wrapText="1"/>
      <protection hidden="1"/>
    </xf>
    <xf numFmtId="0" fontId="6" fillId="26" borderId="60" xfId="0" applyFont="1" applyFill="1" applyBorder="1" applyAlignment="1" applyProtection="1">
      <alignment horizontal="center" vertical="center" wrapText="1"/>
      <protection hidden="1"/>
    </xf>
    <xf numFmtId="0" fontId="5" fillId="30" borderId="49" xfId="0" applyFont="1" applyFill="1" applyBorder="1" applyAlignment="1" applyProtection="1">
      <alignment horizontal="center" vertical="center"/>
      <protection hidden="1"/>
    </xf>
    <xf numFmtId="0" fontId="5" fillId="30" borderId="10" xfId="0" applyFont="1" applyFill="1" applyBorder="1" applyAlignment="1" applyProtection="1">
      <alignment horizontal="center" vertical="center"/>
      <protection hidden="1"/>
    </xf>
    <xf numFmtId="0" fontId="5" fillId="30" borderId="47" xfId="0" applyFont="1" applyFill="1" applyBorder="1" applyAlignment="1" applyProtection="1">
      <alignment horizontal="center" vertical="center"/>
      <protection hidden="1"/>
    </xf>
    <xf numFmtId="0" fontId="5" fillId="30" borderId="38" xfId="0" applyFont="1" applyFill="1" applyBorder="1" applyAlignment="1" applyProtection="1">
      <alignment horizontal="center" vertical="center"/>
      <protection hidden="1"/>
    </xf>
    <xf numFmtId="0" fontId="5" fillId="30" borderId="51" xfId="0" applyFont="1" applyFill="1" applyBorder="1" applyAlignment="1" applyProtection="1">
      <alignment horizontal="center" vertical="center" wrapText="1"/>
      <protection hidden="1"/>
    </xf>
    <xf numFmtId="0" fontId="5" fillId="30" borderId="15" xfId="0" applyFont="1" applyFill="1" applyBorder="1" applyAlignment="1" applyProtection="1">
      <alignment horizontal="center" vertical="center"/>
      <protection hidden="1"/>
    </xf>
    <xf numFmtId="3" fontId="5" fillId="30" borderId="24" xfId="0" applyNumberFormat="1" applyFont="1" applyFill="1" applyBorder="1" applyAlignment="1" applyProtection="1">
      <alignment horizontal="center" vertical="center" wrapText="1"/>
      <protection hidden="1"/>
    </xf>
    <xf numFmtId="0" fontId="50" fillId="30" borderId="24" xfId="0" applyFont="1" applyFill="1" applyBorder="1" applyAlignment="1" applyProtection="1">
      <alignment horizontal="center" vertical="center" wrapText="1"/>
      <protection hidden="1"/>
    </xf>
    <xf numFmtId="0" fontId="6" fillId="30" borderId="39" xfId="0" applyFont="1" applyFill="1" applyBorder="1" applyAlignment="1" applyProtection="1">
      <alignment horizontal="center" vertical="center" textRotation="90" wrapText="1"/>
      <protection hidden="1"/>
    </xf>
    <xf numFmtId="0" fontId="6" fillId="30" borderId="32" xfId="0" applyFont="1" applyFill="1" applyBorder="1" applyAlignment="1" applyProtection="1">
      <alignment horizontal="center" vertical="center" textRotation="90" wrapText="1"/>
      <protection hidden="1"/>
    </xf>
    <xf numFmtId="0" fontId="6" fillId="30" borderId="43" xfId="0" applyFont="1" applyFill="1" applyBorder="1" applyAlignment="1" applyProtection="1">
      <alignment horizontal="center" vertical="center" textRotation="90" wrapText="1"/>
      <protection hidden="1"/>
    </xf>
    <xf numFmtId="0" fontId="5" fillId="26" borderId="71" xfId="0" applyFont="1" applyFill="1" applyBorder="1" applyAlignment="1" applyProtection="1">
      <alignment horizontal="center" vertical="center"/>
      <protection hidden="1"/>
    </xf>
    <xf numFmtId="0" fontId="5" fillId="26" borderId="70" xfId="0" applyFont="1" applyFill="1" applyBorder="1" applyAlignment="1" applyProtection="1">
      <alignment horizontal="center" vertical="center"/>
      <protection hidden="1"/>
    </xf>
    <xf numFmtId="0" fontId="6" fillId="26" borderId="2" xfId="0" applyFont="1" applyFill="1" applyBorder="1" applyAlignment="1" applyProtection="1">
      <alignment horizontal="center" vertical="center" wrapText="1"/>
      <protection hidden="1"/>
    </xf>
    <xf numFmtId="0" fontId="6" fillId="26" borderId="3" xfId="0" applyFont="1" applyFill="1" applyBorder="1" applyAlignment="1" applyProtection="1">
      <alignment horizontal="center" vertical="center" wrapText="1"/>
      <protection hidden="1"/>
    </xf>
    <xf numFmtId="0" fontId="6" fillId="26" borderId="4" xfId="0" applyFont="1" applyFill="1" applyBorder="1" applyAlignment="1" applyProtection="1">
      <alignment horizontal="center" vertical="center" wrapText="1"/>
      <protection hidden="1"/>
    </xf>
    <xf numFmtId="0" fontId="6" fillId="26" borderId="10" xfId="0" applyFont="1" applyFill="1" applyBorder="1" applyAlignment="1" applyProtection="1">
      <alignment horizontal="center" vertical="center" wrapText="1"/>
      <protection hidden="1"/>
    </xf>
    <xf numFmtId="0" fontId="6" fillId="26" borderId="0" xfId="0" applyFont="1" applyFill="1" applyBorder="1" applyAlignment="1" applyProtection="1">
      <alignment horizontal="center" vertical="center" wrapText="1"/>
      <protection hidden="1"/>
    </xf>
    <xf numFmtId="0" fontId="6" fillId="26" borderId="49" xfId="0" applyFont="1" applyFill="1" applyBorder="1" applyAlignment="1" applyProtection="1">
      <alignment horizontal="center" vertical="center" wrapText="1"/>
      <protection hidden="1"/>
    </xf>
    <xf numFmtId="0" fontId="6" fillId="26" borderId="48" xfId="0" applyFont="1" applyFill="1" applyBorder="1" applyAlignment="1" applyProtection="1">
      <alignment horizontal="center" vertical="center" wrapText="1"/>
      <protection hidden="1"/>
    </xf>
    <xf numFmtId="0" fontId="6" fillId="26" borderId="26" xfId="0" applyFont="1" applyFill="1" applyBorder="1" applyAlignment="1" applyProtection="1">
      <alignment horizontal="center" vertical="center" wrapText="1"/>
      <protection hidden="1"/>
    </xf>
    <xf numFmtId="0" fontId="19" fillId="17" borderId="2" xfId="0" applyFont="1" applyFill="1" applyBorder="1" applyAlignment="1" applyProtection="1">
      <alignment horizontal="center" vertical="center"/>
      <protection hidden="1"/>
    </xf>
    <xf numFmtId="0" fontId="19" fillId="17" borderId="47" xfId="0" applyFont="1" applyFill="1" applyBorder="1" applyAlignment="1" applyProtection="1">
      <alignment horizontal="center" vertical="center"/>
      <protection hidden="1"/>
    </xf>
    <xf numFmtId="0" fontId="19" fillId="17" borderId="5" xfId="0" applyFont="1" applyFill="1" applyBorder="1" applyAlignment="1" applyProtection="1">
      <alignment horizontal="center" vertical="center"/>
      <protection hidden="1"/>
    </xf>
    <xf numFmtId="0" fontId="19" fillId="17" borderId="38" xfId="0" applyFont="1" applyFill="1" applyBorder="1" applyAlignment="1" applyProtection="1">
      <alignment horizontal="center" vertical="center"/>
      <protection hidden="1"/>
    </xf>
    <xf numFmtId="0" fontId="8" fillId="0" borderId="6" xfId="0" applyFont="1" applyBorder="1" applyAlignment="1" applyProtection="1">
      <alignment horizontal="center" vertical="center"/>
      <protection hidden="1"/>
    </xf>
    <xf numFmtId="0" fontId="8" fillId="0" borderId="7" xfId="0" applyFont="1" applyBorder="1" applyAlignment="1" applyProtection="1">
      <alignment horizontal="center" vertical="center"/>
      <protection hidden="1"/>
    </xf>
    <xf numFmtId="0" fontId="8" fillId="0" borderId="8" xfId="0" applyFont="1" applyBorder="1" applyAlignment="1" applyProtection="1">
      <alignment horizontal="center" vertical="center"/>
      <protection hidden="1"/>
    </xf>
    <xf numFmtId="164" fontId="5" fillId="0" borderId="0" xfId="0" applyNumberFormat="1" applyFont="1" applyFill="1" applyBorder="1" applyAlignment="1" applyProtection="1">
      <alignment horizontal="center" vertical="center"/>
      <protection hidden="1"/>
    </xf>
    <xf numFmtId="0" fontId="6" fillId="18" borderId="6" xfId="0" applyFont="1" applyFill="1" applyBorder="1" applyAlignment="1" applyProtection="1">
      <alignment horizontal="center" vertical="center"/>
      <protection hidden="1"/>
    </xf>
    <xf numFmtId="0" fontId="6" fillId="18" borderId="7" xfId="0" applyFont="1" applyFill="1" applyBorder="1" applyAlignment="1" applyProtection="1">
      <alignment horizontal="center" vertical="center"/>
      <protection hidden="1"/>
    </xf>
    <xf numFmtId="0" fontId="6" fillId="18" borderId="8" xfId="0" applyFont="1" applyFill="1" applyBorder="1" applyAlignment="1" applyProtection="1">
      <alignment horizontal="center" vertical="center"/>
      <protection hidden="1"/>
    </xf>
    <xf numFmtId="0" fontId="5" fillId="0" borderId="31" xfId="0" applyFont="1" applyFill="1" applyBorder="1" applyAlignment="1" applyProtection="1">
      <alignment horizontal="center" vertical="center"/>
      <protection hidden="1"/>
    </xf>
    <xf numFmtId="0" fontId="5" fillId="0" borderId="59" xfId="0" applyFont="1" applyFill="1" applyBorder="1" applyAlignment="1" applyProtection="1">
      <alignment horizontal="center" vertical="center"/>
      <protection hidden="1"/>
    </xf>
    <xf numFmtId="0" fontId="5" fillId="0" borderId="54" xfId="0" applyFont="1" applyFill="1" applyBorder="1" applyAlignment="1" applyProtection="1">
      <alignment horizontal="center" vertical="center"/>
      <protection hidden="1"/>
    </xf>
    <xf numFmtId="0" fontId="6" fillId="17" borderId="6" xfId="0" applyFont="1" applyFill="1" applyBorder="1" applyAlignment="1" applyProtection="1">
      <alignment horizontal="center" vertical="center"/>
      <protection hidden="1"/>
    </xf>
    <xf numFmtId="0" fontId="6" fillId="17" borderId="7" xfId="0" applyFont="1" applyFill="1" applyBorder="1" applyAlignment="1" applyProtection="1">
      <alignment horizontal="center" vertical="center"/>
      <protection hidden="1"/>
    </xf>
    <xf numFmtId="0" fontId="6" fillId="17" borderId="8" xfId="0" applyFont="1" applyFill="1" applyBorder="1" applyAlignment="1" applyProtection="1">
      <alignment horizontal="center" vertical="center"/>
      <protection hidden="1"/>
    </xf>
    <xf numFmtId="0" fontId="5" fillId="0" borderId="31" xfId="0" applyFont="1" applyFill="1" applyBorder="1" applyAlignment="1" applyProtection="1">
      <alignment horizontal="center"/>
      <protection hidden="1"/>
    </xf>
    <xf numFmtId="0" fontId="5" fillId="0" borderId="48" xfId="0" applyFont="1" applyFill="1" applyBorder="1" applyAlignment="1" applyProtection="1">
      <alignment horizontal="center"/>
      <protection hidden="1"/>
    </xf>
    <xf numFmtId="0" fontId="19" fillId="17" borderId="7" xfId="0" applyFont="1" applyFill="1" applyBorder="1" applyAlignment="1" applyProtection="1">
      <alignment horizontal="center" vertical="center" wrapText="1"/>
      <protection hidden="1"/>
    </xf>
    <xf numFmtId="0" fontId="19" fillId="17" borderId="2" xfId="0" applyFont="1" applyFill="1" applyBorder="1" applyAlignment="1" applyProtection="1">
      <alignment horizontal="center" vertical="center" wrapText="1"/>
      <protection hidden="1"/>
    </xf>
    <xf numFmtId="0" fontId="19" fillId="17" borderId="3" xfId="0" applyFont="1" applyFill="1" applyBorder="1" applyAlignment="1" applyProtection="1">
      <alignment horizontal="center" vertical="center" wrapText="1"/>
      <protection hidden="1"/>
    </xf>
    <xf numFmtId="0" fontId="19" fillId="17" borderId="4" xfId="0" applyFont="1" applyFill="1" applyBorder="1" applyAlignment="1" applyProtection="1">
      <alignment horizontal="center" vertical="center" wrapText="1"/>
      <protection hidden="1"/>
    </xf>
    <xf numFmtId="0" fontId="19" fillId="17" borderId="47" xfId="0" applyFont="1" applyFill="1" applyBorder="1" applyAlignment="1" applyProtection="1">
      <alignment horizontal="center" vertical="center" wrapText="1"/>
      <protection hidden="1"/>
    </xf>
    <xf numFmtId="0" fontId="19" fillId="17" borderId="5" xfId="0" applyFont="1" applyFill="1" applyBorder="1" applyAlignment="1" applyProtection="1">
      <alignment horizontal="center" vertical="center" wrapText="1"/>
      <protection hidden="1"/>
    </xf>
    <xf numFmtId="0" fontId="19" fillId="17" borderId="38" xfId="0" applyFont="1" applyFill="1" applyBorder="1" applyAlignment="1" applyProtection="1">
      <alignment horizontal="center" vertical="center" wrapText="1"/>
      <protection hidden="1"/>
    </xf>
    <xf numFmtId="0" fontId="5" fillId="0" borderId="6" xfId="0" applyFont="1" applyBorder="1" applyAlignment="1" applyProtection="1">
      <alignment horizontal="center"/>
      <protection hidden="1"/>
    </xf>
    <xf numFmtId="0" fontId="5" fillId="0" borderId="7" xfId="0" applyFont="1" applyBorder="1" applyAlignment="1" applyProtection="1">
      <alignment horizontal="center"/>
      <protection hidden="1"/>
    </xf>
    <xf numFmtId="0" fontId="5" fillId="0" borderId="8" xfId="0" applyFont="1" applyBorder="1" applyAlignment="1" applyProtection="1">
      <alignment horizontal="center"/>
      <protection hidden="1"/>
    </xf>
    <xf numFmtId="0" fontId="13" fillId="17" borderId="2" xfId="0" applyFont="1" applyFill="1" applyBorder="1" applyAlignment="1" applyProtection="1">
      <alignment horizontal="center" vertical="center"/>
      <protection hidden="1"/>
    </xf>
    <xf numFmtId="0" fontId="13" fillId="17" borderId="3" xfId="0" applyFont="1" applyFill="1" applyBorder="1" applyAlignment="1" applyProtection="1">
      <alignment horizontal="center" vertical="center"/>
      <protection hidden="1"/>
    </xf>
    <xf numFmtId="0" fontId="13" fillId="17" borderId="4" xfId="0" applyFont="1" applyFill="1" applyBorder="1" applyAlignment="1" applyProtection="1">
      <alignment horizontal="center" vertical="center"/>
      <protection hidden="1"/>
    </xf>
    <xf numFmtId="0" fontId="13" fillId="17" borderId="47" xfId="0" applyFont="1" applyFill="1" applyBorder="1" applyAlignment="1" applyProtection="1">
      <alignment horizontal="center" vertical="center"/>
      <protection hidden="1"/>
    </xf>
    <xf numFmtId="0" fontId="13" fillId="17" borderId="5" xfId="0" applyFont="1" applyFill="1" applyBorder="1" applyAlignment="1" applyProtection="1">
      <alignment horizontal="center" vertical="center"/>
      <protection hidden="1"/>
    </xf>
    <xf numFmtId="0" fontId="13" fillId="17" borderId="38" xfId="0" applyFont="1" applyFill="1" applyBorder="1" applyAlignment="1" applyProtection="1">
      <alignment horizontal="center" vertical="center"/>
      <protection hidden="1"/>
    </xf>
    <xf numFmtId="0" fontId="6" fillId="5" borderId="19" xfId="0" applyFont="1" applyFill="1" applyBorder="1" applyAlignment="1" applyProtection="1">
      <alignment horizontal="center" vertical="center" wrapText="1"/>
      <protection hidden="1"/>
    </xf>
    <xf numFmtId="0" fontId="6" fillId="5" borderId="28" xfId="0" applyFont="1" applyFill="1" applyBorder="1" applyAlignment="1" applyProtection="1">
      <alignment horizontal="center" vertical="center" wrapText="1"/>
      <protection hidden="1"/>
    </xf>
    <xf numFmtId="0" fontId="6" fillId="5" borderId="6" xfId="0" applyFont="1" applyFill="1" applyBorder="1" applyAlignment="1" applyProtection="1">
      <alignment horizontal="center" vertical="center" wrapText="1"/>
      <protection hidden="1"/>
    </xf>
    <xf numFmtId="0" fontId="6" fillId="5" borderId="8" xfId="0" applyFont="1" applyFill="1" applyBorder="1" applyAlignment="1" applyProtection="1">
      <alignment horizontal="center" vertical="center" wrapText="1"/>
      <protection hidden="1"/>
    </xf>
    <xf numFmtId="0" fontId="6" fillId="5" borderId="20" xfId="0" applyFont="1" applyFill="1" applyBorder="1" applyAlignment="1" applyProtection="1">
      <alignment horizontal="center" vertical="center" wrapText="1"/>
      <protection hidden="1"/>
    </xf>
    <xf numFmtId="0" fontId="13" fillId="4" borderId="6" xfId="0" applyFont="1" applyFill="1" applyBorder="1" applyAlignment="1" applyProtection="1">
      <alignment horizontal="center" vertical="center" wrapText="1"/>
      <protection hidden="1"/>
    </xf>
    <xf numFmtId="0" fontId="13" fillId="4" borderId="7" xfId="0" applyFont="1" applyFill="1" applyBorder="1" applyAlignment="1" applyProtection="1">
      <alignment horizontal="center" vertical="center" wrapText="1"/>
      <protection hidden="1"/>
    </xf>
    <xf numFmtId="0" fontId="13" fillId="4" borderId="8" xfId="0" applyFont="1" applyFill="1" applyBorder="1" applyAlignment="1" applyProtection="1">
      <alignment horizontal="center" vertical="center" wrapText="1"/>
      <protection hidden="1"/>
    </xf>
    <xf numFmtId="0" fontId="13" fillId="4" borderId="2" xfId="0" applyFont="1" applyFill="1" applyBorder="1" applyAlignment="1" applyProtection="1">
      <alignment horizontal="center" vertical="center" wrapText="1"/>
      <protection hidden="1"/>
    </xf>
    <xf numFmtId="0" fontId="13" fillId="4" borderId="3" xfId="0" applyFont="1" applyFill="1" applyBorder="1" applyAlignment="1" applyProtection="1">
      <alignment horizontal="center" vertical="center" wrapText="1"/>
      <protection hidden="1"/>
    </xf>
    <xf numFmtId="0" fontId="13" fillId="4" borderId="4" xfId="0" applyFont="1" applyFill="1" applyBorder="1" applyAlignment="1" applyProtection="1">
      <alignment horizontal="center" vertical="center" wrapText="1"/>
      <protection hidden="1"/>
    </xf>
    <xf numFmtId="0" fontId="6" fillId="5" borderId="43" xfId="0" applyFont="1" applyFill="1" applyBorder="1" applyAlignment="1" applyProtection="1">
      <alignment horizontal="center" vertical="center" wrapText="1"/>
      <protection hidden="1"/>
    </xf>
    <xf numFmtId="0" fontId="6" fillId="5" borderId="44" xfId="0" applyFont="1" applyFill="1" applyBorder="1" applyAlignment="1" applyProtection="1">
      <alignment horizontal="center" vertical="center" wrapText="1"/>
      <protection hidden="1"/>
    </xf>
    <xf numFmtId="0" fontId="6" fillId="16" borderId="58" xfId="0" applyFont="1" applyFill="1" applyBorder="1" applyAlignment="1" applyProtection="1">
      <alignment horizontal="left" vertical="center" wrapText="1"/>
      <protection hidden="1"/>
    </xf>
    <xf numFmtId="0" fontId="6" fillId="16" borderId="54" xfId="0" applyFont="1" applyFill="1" applyBorder="1" applyAlignment="1" applyProtection="1">
      <alignment horizontal="left" vertical="center" wrapText="1"/>
      <protection hidden="1"/>
    </xf>
    <xf numFmtId="0" fontId="6" fillId="16" borderId="6" xfId="0" applyFont="1" applyFill="1" applyBorder="1" applyAlignment="1" applyProtection="1">
      <alignment horizontal="left" vertical="center" wrapText="1"/>
      <protection hidden="1"/>
    </xf>
    <xf numFmtId="0" fontId="6" fillId="16" borderId="8" xfId="0" applyFont="1" applyFill="1" applyBorder="1" applyAlignment="1" applyProtection="1">
      <alignment horizontal="left" vertical="center" wrapText="1"/>
      <protection hidden="1"/>
    </xf>
    <xf numFmtId="0" fontId="6" fillId="16" borderId="6" xfId="0" applyFont="1" applyFill="1" applyBorder="1" applyAlignment="1" applyProtection="1">
      <alignment horizontal="center" vertical="center" wrapText="1"/>
      <protection hidden="1"/>
    </xf>
    <xf numFmtId="0" fontId="6" fillId="16" borderId="21" xfId="0" applyFont="1" applyFill="1" applyBorder="1" applyAlignment="1" applyProtection="1">
      <alignment horizontal="center" vertical="center" wrapText="1"/>
      <protection hidden="1"/>
    </xf>
    <xf numFmtId="0" fontId="7" fillId="6" borderId="28" xfId="0" applyNumberFormat="1" applyFont="1" applyFill="1" applyBorder="1" applyAlignment="1" applyProtection="1">
      <alignment horizontal="center" vertical="center" wrapText="1"/>
      <protection hidden="1"/>
    </xf>
    <xf numFmtId="0" fontId="7" fillId="6" borderId="7" xfId="0" applyNumberFormat="1" applyFont="1" applyFill="1" applyBorder="1" applyAlignment="1" applyProtection="1">
      <alignment horizontal="center" vertical="center" wrapText="1"/>
      <protection hidden="1"/>
    </xf>
    <xf numFmtId="0" fontId="7" fillId="6" borderId="8" xfId="0" applyNumberFormat="1" applyFont="1" applyFill="1" applyBorder="1" applyAlignment="1" applyProtection="1">
      <alignment horizontal="center" vertical="center" wrapText="1"/>
      <protection hidden="1"/>
    </xf>
    <xf numFmtId="0" fontId="6" fillId="0" borderId="0" xfId="0" applyFont="1" applyAlignment="1" applyProtection="1">
      <alignment horizontal="center" vertical="center" wrapText="1"/>
      <protection hidden="1"/>
    </xf>
    <xf numFmtId="0" fontId="15" fillId="0" borderId="0" xfId="0" applyFont="1" applyBorder="1" applyAlignment="1" applyProtection="1">
      <alignment horizontal="left" vertical="center" wrapText="1"/>
      <protection hidden="1"/>
    </xf>
    <xf numFmtId="0" fontId="54" fillId="25" borderId="6" xfId="0" applyFont="1" applyFill="1" applyBorder="1" applyAlignment="1" applyProtection="1">
      <alignment horizontal="center" vertical="center" wrapText="1"/>
      <protection hidden="1"/>
    </xf>
    <xf numFmtId="0" fontId="54" fillId="25" borderId="7" xfId="0" applyFont="1" applyFill="1" applyBorder="1" applyAlignment="1" applyProtection="1">
      <alignment horizontal="center" vertical="center" wrapText="1"/>
      <protection hidden="1"/>
    </xf>
    <xf numFmtId="0" fontId="54" fillId="25" borderId="8" xfId="0" applyFont="1" applyFill="1" applyBorder="1" applyAlignment="1" applyProtection="1">
      <alignment horizontal="center" vertical="center" wrapText="1"/>
      <protection hidden="1"/>
    </xf>
    <xf numFmtId="0" fontId="13" fillId="25" borderId="10" xfId="0" applyFont="1" applyFill="1" applyBorder="1" applyAlignment="1" applyProtection="1">
      <alignment horizontal="center" vertical="center" wrapText="1"/>
      <protection hidden="1"/>
    </xf>
    <xf numFmtId="0" fontId="13" fillId="25" borderId="0" xfId="0" applyFont="1" applyFill="1" applyBorder="1" applyAlignment="1" applyProtection="1">
      <alignment horizontal="center" vertical="center" wrapText="1"/>
      <protection hidden="1"/>
    </xf>
    <xf numFmtId="0" fontId="13" fillId="25" borderId="49" xfId="0" applyFont="1" applyFill="1" applyBorder="1" applyAlignment="1" applyProtection="1">
      <alignment horizontal="center" vertical="center" wrapText="1"/>
      <protection hidden="1"/>
    </xf>
    <xf numFmtId="0" fontId="9" fillId="21" borderId="72" xfId="0" applyFont="1" applyFill="1" applyBorder="1" applyAlignment="1" applyProtection="1">
      <alignment horizontal="center" vertical="center" wrapText="1"/>
      <protection hidden="1"/>
    </xf>
    <xf numFmtId="0" fontId="9" fillId="21" borderId="67" xfId="0" applyFont="1" applyFill="1" applyBorder="1" applyAlignment="1" applyProtection="1">
      <alignment horizontal="center" vertical="center" wrapText="1"/>
      <protection hidden="1"/>
    </xf>
    <xf numFmtId="0" fontId="9" fillId="16" borderId="67" xfId="0" applyFont="1" applyFill="1" applyBorder="1" applyAlignment="1" applyProtection="1">
      <alignment horizontal="center" vertical="center" wrapText="1"/>
      <protection hidden="1"/>
    </xf>
    <xf numFmtId="0" fontId="7" fillId="19" borderId="39" xfId="0" applyFont="1" applyFill="1" applyBorder="1" applyAlignment="1" applyProtection="1">
      <alignment horizontal="center" vertical="center" wrapText="1"/>
      <protection hidden="1"/>
    </xf>
    <xf numFmtId="0" fontId="7" fillId="19" borderId="40" xfId="0" applyFont="1" applyFill="1" applyBorder="1" applyAlignment="1" applyProtection="1">
      <alignment horizontal="center" vertical="center" wrapText="1"/>
      <protection hidden="1"/>
    </xf>
    <xf numFmtId="0" fontId="5" fillId="19" borderId="32" xfId="0" applyFont="1" applyFill="1" applyBorder="1" applyAlignment="1" applyProtection="1">
      <alignment horizontal="center" vertical="center" wrapText="1"/>
      <protection hidden="1"/>
    </xf>
    <xf numFmtId="0" fontId="5" fillId="19" borderId="9" xfId="0" applyFont="1" applyFill="1" applyBorder="1" applyAlignment="1" applyProtection="1">
      <alignment horizontal="center" vertical="center" wrapText="1"/>
      <protection hidden="1"/>
    </xf>
    <xf numFmtId="0" fontId="7" fillId="19" borderId="43" xfId="0" applyFont="1" applyFill="1" applyBorder="1" applyAlignment="1" applyProtection="1">
      <alignment horizontal="center" vertical="center" wrapText="1"/>
      <protection hidden="1"/>
    </xf>
    <xf numFmtId="0" fontId="7" fillId="19" borderId="44" xfId="0" applyFont="1" applyFill="1" applyBorder="1" applyAlignment="1" applyProtection="1">
      <alignment horizontal="center" vertical="center" wrapText="1"/>
      <protection hidden="1"/>
    </xf>
    <xf numFmtId="0" fontId="6" fillId="2" borderId="35" xfId="0" applyFont="1" applyFill="1" applyBorder="1" applyAlignment="1" applyProtection="1">
      <alignment horizontal="center" vertical="center" wrapText="1"/>
      <protection hidden="1"/>
    </xf>
    <xf numFmtId="0" fontId="6" fillId="2" borderId="33" xfId="0" applyFont="1" applyFill="1" applyBorder="1" applyAlignment="1" applyProtection="1">
      <alignment horizontal="center" vertical="center" wrapText="1"/>
      <protection hidden="1"/>
    </xf>
    <xf numFmtId="0" fontId="7" fillId="2" borderId="43" xfId="0" applyFont="1" applyFill="1" applyBorder="1" applyAlignment="1" applyProtection="1">
      <alignment horizontal="center" vertical="center" wrapText="1"/>
      <protection hidden="1"/>
    </xf>
    <xf numFmtId="0" fontId="7" fillId="2" borderId="55" xfId="0" applyFont="1" applyFill="1" applyBorder="1" applyAlignment="1" applyProtection="1">
      <alignment horizontal="center" vertical="center" wrapText="1"/>
      <protection hidden="1"/>
    </xf>
    <xf numFmtId="0" fontId="6" fillId="5" borderId="83" xfId="0" applyFont="1" applyFill="1" applyBorder="1" applyAlignment="1" applyProtection="1">
      <alignment horizontal="justify" vertical="center" wrapText="1"/>
      <protection hidden="1"/>
    </xf>
    <xf numFmtId="0" fontId="6" fillId="5" borderId="84" xfId="0" applyFont="1" applyFill="1" applyBorder="1" applyAlignment="1" applyProtection="1">
      <alignment horizontal="justify" vertical="center" wrapText="1"/>
      <protection hidden="1"/>
    </xf>
    <xf numFmtId="0" fontId="6" fillId="5" borderId="39" xfId="0" applyFont="1" applyFill="1" applyBorder="1" applyAlignment="1" applyProtection="1">
      <alignment horizontal="left" vertical="center" wrapText="1"/>
      <protection hidden="1"/>
    </xf>
    <xf numFmtId="0" fontId="6" fillId="5" borderId="41" xfId="0" applyFont="1" applyFill="1" applyBorder="1" applyAlignment="1" applyProtection="1">
      <alignment horizontal="left" vertical="center" wrapText="1"/>
      <protection hidden="1"/>
    </xf>
    <xf numFmtId="0" fontId="6" fillId="5" borderId="32" xfId="0" applyFont="1" applyFill="1" applyBorder="1" applyAlignment="1" applyProtection="1">
      <alignment horizontal="left" vertical="center" wrapText="1"/>
      <protection hidden="1"/>
    </xf>
    <xf numFmtId="0" fontId="6" fillId="5" borderId="34" xfId="0" applyFont="1" applyFill="1" applyBorder="1" applyAlignment="1" applyProtection="1">
      <alignment horizontal="left" vertical="center" wrapText="1"/>
      <protection hidden="1"/>
    </xf>
    <xf numFmtId="0" fontId="6" fillId="5" borderId="43" xfId="0" applyFont="1" applyFill="1" applyBorder="1" applyAlignment="1" applyProtection="1">
      <alignment horizontal="left" vertical="center" wrapText="1"/>
      <protection hidden="1"/>
    </xf>
    <xf numFmtId="0" fontId="6" fillId="5" borderId="37" xfId="0" applyFont="1" applyFill="1" applyBorder="1" applyAlignment="1" applyProtection="1">
      <alignment horizontal="left" vertical="center" wrapText="1"/>
      <protection hidden="1"/>
    </xf>
    <xf numFmtId="167" fontId="7" fillId="7" borderId="40" xfId="0" applyNumberFormat="1" applyFont="1" applyFill="1" applyBorder="1" applyAlignment="1" applyProtection="1">
      <alignment horizontal="center" vertical="center" wrapText="1"/>
      <protection hidden="1"/>
    </xf>
    <xf numFmtId="167" fontId="7" fillId="7" borderId="9" xfId="0" applyNumberFormat="1" applyFont="1" applyFill="1" applyBorder="1" applyAlignment="1" applyProtection="1">
      <alignment horizontal="center" vertical="center" wrapText="1"/>
      <protection hidden="1"/>
    </xf>
    <xf numFmtId="167" fontId="7" fillId="7" borderId="44" xfId="0" applyNumberFormat="1" applyFont="1" applyFill="1" applyBorder="1" applyAlignment="1" applyProtection="1">
      <alignment horizontal="center" vertical="center" wrapText="1"/>
      <protection hidden="1"/>
    </xf>
    <xf numFmtId="1" fontId="7" fillId="7" borderId="40" xfId="0" applyNumberFormat="1" applyFont="1" applyFill="1" applyBorder="1" applyAlignment="1" applyProtection="1">
      <alignment horizontal="center" vertical="center" wrapText="1"/>
      <protection hidden="1"/>
    </xf>
    <xf numFmtId="1" fontId="7" fillId="7" borderId="9" xfId="0" applyNumberFormat="1" applyFont="1" applyFill="1" applyBorder="1" applyAlignment="1" applyProtection="1">
      <alignment horizontal="center" vertical="center" wrapText="1"/>
      <protection hidden="1"/>
    </xf>
    <xf numFmtId="1" fontId="7" fillId="7" borderId="44" xfId="0" applyNumberFormat="1" applyFont="1" applyFill="1" applyBorder="1" applyAlignment="1" applyProtection="1">
      <alignment horizontal="center" vertical="center" wrapText="1"/>
      <protection hidden="1"/>
    </xf>
    <xf numFmtId="0" fontId="13" fillId="4" borderId="56" xfId="0" applyFont="1" applyFill="1" applyBorder="1" applyAlignment="1" applyProtection="1">
      <alignment horizontal="center" vertical="center" wrapText="1"/>
      <protection hidden="1"/>
    </xf>
    <xf numFmtId="0" fontId="13" fillId="4" borderId="62" xfId="0" applyFont="1" applyFill="1" applyBorder="1" applyAlignment="1" applyProtection="1">
      <alignment horizontal="center" vertical="center" wrapText="1"/>
      <protection hidden="1"/>
    </xf>
    <xf numFmtId="0" fontId="13" fillId="4" borderId="57" xfId="0" applyFont="1" applyFill="1" applyBorder="1" applyAlignment="1" applyProtection="1">
      <alignment horizontal="center" vertical="center" wrapText="1"/>
      <protection hidden="1"/>
    </xf>
    <xf numFmtId="2" fontId="5" fillId="12" borderId="9" xfId="0" applyNumberFormat="1" applyFont="1" applyFill="1" applyBorder="1" applyAlignment="1" applyProtection="1">
      <alignment horizontal="center" vertical="center" wrapText="1"/>
      <protection hidden="1"/>
    </xf>
    <xf numFmtId="14" fontId="7" fillId="12" borderId="12" xfId="0" applyNumberFormat="1" applyFont="1" applyFill="1" applyBorder="1" applyAlignment="1" applyProtection="1">
      <alignment horizontal="center" vertical="center" wrapText="1"/>
      <protection hidden="1"/>
    </xf>
    <xf numFmtId="14" fontId="7" fillId="12" borderId="18" xfId="0" applyNumberFormat="1" applyFont="1" applyFill="1" applyBorder="1" applyAlignment="1" applyProtection="1">
      <alignment horizontal="center" vertical="center" wrapText="1"/>
      <protection hidden="1"/>
    </xf>
    <xf numFmtId="0" fontId="9" fillId="5" borderId="67" xfId="0" applyFont="1" applyFill="1" applyBorder="1" applyAlignment="1" applyProtection="1">
      <alignment horizontal="center" vertical="center" wrapText="1"/>
      <protection hidden="1"/>
    </xf>
    <xf numFmtId="0" fontId="9" fillId="5" borderId="53" xfId="0" applyFont="1" applyFill="1" applyBorder="1" applyAlignment="1" applyProtection="1">
      <alignment horizontal="center" vertical="center" wrapText="1"/>
      <protection hidden="1"/>
    </xf>
    <xf numFmtId="0" fontId="9" fillId="5" borderId="73" xfId="0" applyFont="1" applyFill="1" applyBorder="1" applyAlignment="1" applyProtection="1">
      <alignment horizontal="center" vertical="center" wrapText="1"/>
      <protection hidden="1"/>
    </xf>
    <xf numFmtId="0" fontId="9" fillId="5" borderId="78" xfId="0" applyFont="1" applyFill="1" applyBorder="1" applyAlignment="1" applyProtection="1">
      <alignment horizontal="center" vertical="center" wrapText="1"/>
      <protection hidden="1"/>
    </xf>
    <xf numFmtId="1" fontId="7" fillId="15" borderId="12" xfId="0" applyNumberFormat="1" applyFont="1" applyFill="1" applyBorder="1" applyAlignment="1" applyProtection="1">
      <alignment horizontal="center" vertical="center" wrapText="1"/>
      <protection hidden="1"/>
    </xf>
    <xf numFmtId="1" fontId="7" fillId="15" borderId="18" xfId="0" applyNumberFormat="1" applyFont="1" applyFill="1" applyBorder="1" applyAlignment="1" applyProtection="1">
      <alignment horizontal="center" vertical="center" wrapText="1"/>
      <protection hidden="1"/>
    </xf>
    <xf numFmtId="1" fontId="7" fillId="12" borderId="12" xfId="0" applyNumberFormat="1" applyFont="1" applyFill="1" applyBorder="1" applyAlignment="1" applyProtection="1">
      <alignment horizontal="center" vertical="center" wrapText="1"/>
      <protection hidden="1"/>
    </xf>
    <xf numFmtId="1" fontId="7" fillId="12" borderId="18" xfId="0" applyNumberFormat="1" applyFont="1" applyFill="1" applyBorder="1" applyAlignment="1" applyProtection="1">
      <alignment horizontal="center" vertical="center" wrapText="1"/>
      <protection hidden="1"/>
    </xf>
    <xf numFmtId="1" fontId="7" fillId="15" borderId="26" xfId="0" applyNumberFormat="1" applyFont="1" applyFill="1" applyBorder="1" applyAlignment="1" applyProtection="1">
      <alignment horizontal="center" vertical="center" wrapText="1"/>
      <protection hidden="1"/>
    </xf>
    <xf numFmtId="1" fontId="7" fillId="15" borderId="17" xfId="0" applyNumberFormat="1" applyFont="1" applyFill="1" applyBorder="1" applyAlignment="1" applyProtection="1">
      <alignment horizontal="center" vertical="center" wrapText="1"/>
      <protection hidden="1"/>
    </xf>
    <xf numFmtId="2" fontId="7" fillId="15" borderId="12" xfId="0" applyNumberFormat="1" applyFont="1" applyFill="1" applyBorder="1" applyAlignment="1" applyProtection="1">
      <alignment horizontal="center" vertical="center" wrapText="1"/>
      <protection hidden="1"/>
    </xf>
    <xf numFmtId="2" fontId="7" fillId="15" borderId="18" xfId="0" applyNumberFormat="1" applyFont="1" applyFill="1" applyBorder="1" applyAlignment="1" applyProtection="1">
      <alignment horizontal="center" vertical="center" wrapText="1"/>
      <protection hidden="1"/>
    </xf>
    <xf numFmtId="169" fontId="7" fillId="12" borderId="11" xfId="0" applyNumberFormat="1" applyFont="1" applyFill="1" applyBorder="1" applyAlignment="1" applyProtection="1">
      <alignment horizontal="center" vertical="center" wrapText="1"/>
      <protection hidden="1"/>
    </xf>
    <xf numFmtId="169" fontId="7" fillId="12" borderId="33" xfId="0" applyNumberFormat="1" applyFont="1" applyFill="1" applyBorder="1" applyAlignment="1" applyProtection="1">
      <alignment horizontal="center" vertical="center" wrapText="1"/>
      <protection hidden="1"/>
    </xf>
    <xf numFmtId="0" fontId="7" fillId="12" borderId="11" xfId="0" applyFont="1" applyFill="1" applyBorder="1" applyAlignment="1" applyProtection="1">
      <alignment horizontal="center" vertical="center" wrapText="1"/>
      <protection hidden="1"/>
    </xf>
    <xf numFmtId="0" fontId="7" fillId="12" borderId="33" xfId="0" applyFont="1" applyFill="1" applyBorder="1" applyAlignment="1" applyProtection="1">
      <alignment horizontal="center" vertical="center" wrapText="1"/>
      <protection hidden="1"/>
    </xf>
    <xf numFmtId="0" fontId="6" fillId="16" borderId="7" xfId="0" applyFont="1" applyFill="1" applyBorder="1" applyAlignment="1" applyProtection="1">
      <alignment horizontal="center" vertical="center" wrapText="1"/>
      <protection hidden="1"/>
    </xf>
    <xf numFmtId="0" fontId="6" fillId="16" borderId="28" xfId="0" applyFont="1" applyFill="1" applyBorder="1" applyAlignment="1" applyProtection="1">
      <alignment horizontal="center" vertical="center" wrapText="1"/>
      <protection hidden="1"/>
    </xf>
    <xf numFmtId="0" fontId="6" fillId="16" borderId="8" xfId="0" applyFont="1" applyFill="1" applyBorder="1" applyAlignment="1" applyProtection="1">
      <alignment horizontal="center" vertical="center" wrapText="1"/>
      <protection hidden="1"/>
    </xf>
    <xf numFmtId="0" fontId="9" fillId="5" borderId="72" xfId="0" applyFont="1" applyFill="1" applyBorder="1" applyAlignment="1" applyProtection="1">
      <alignment horizontal="center" vertical="center" wrapText="1"/>
      <protection hidden="1"/>
    </xf>
    <xf numFmtId="0" fontId="9" fillId="5" borderId="45" xfId="0" applyFont="1" applyFill="1" applyBorder="1" applyAlignment="1" applyProtection="1">
      <alignment horizontal="center" vertical="center" wrapText="1"/>
      <protection hidden="1"/>
    </xf>
    <xf numFmtId="0" fontId="11" fillId="24" borderId="4" xfId="6" applyFont="1" applyBorder="1" applyAlignment="1" applyProtection="1">
      <alignment horizontal="center" vertical="center" wrapText="1"/>
      <protection locked="0" hidden="1"/>
    </xf>
    <xf numFmtId="0" fontId="11" fillId="24" borderId="38" xfId="6" applyFont="1" applyBorder="1" applyAlignment="1" applyProtection="1">
      <alignment horizontal="center" vertical="center" wrapText="1"/>
      <protection locked="0" hidden="1"/>
    </xf>
    <xf numFmtId="0" fontId="13" fillId="25" borderId="6" xfId="0" applyFont="1" applyFill="1" applyBorder="1" applyAlignment="1" applyProtection="1">
      <alignment horizontal="center" vertical="center" wrapText="1"/>
      <protection hidden="1"/>
    </xf>
    <xf numFmtId="0" fontId="13" fillId="25" borderId="7" xfId="0" applyFont="1" applyFill="1" applyBorder="1" applyAlignment="1" applyProtection="1">
      <alignment horizontal="center" vertical="center" wrapText="1"/>
      <protection hidden="1"/>
    </xf>
    <xf numFmtId="0" fontId="13" fillId="25" borderId="8" xfId="0" applyFont="1" applyFill="1" applyBorder="1" applyAlignment="1" applyProtection="1">
      <alignment horizontal="center" vertical="center" wrapText="1"/>
      <protection hidden="1"/>
    </xf>
    <xf numFmtId="0" fontId="7" fillId="12" borderId="13" xfId="0" applyFont="1" applyFill="1" applyBorder="1" applyAlignment="1" applyProtection="1">
      <alignment horizontal="center" vertical="center" wrapText="1"/>
      <protection hidden="1"/>
    </xf>
    <xf numFmtId="0" fontId="7" fillId="12" borderId="17" xfId="0" applyFont="1" applyFill="1" applyBorder="1" applyAlignment="1" applyProtection="1">
      <alignment horizontal="center" vertical="center" wrapText="1"/>
      <protection hidden="1"/>
    </xf>
    <xf numFmtId="0" fontId="9" fillId="16" borderId="41" xfId="0" applyFont="1" applyFill="1" applyBorder="1" applyAlignment="1" applyProtection="1">
      <alignment horizontal="center" vertical="center" wrapText="1"/>
      <protection hidden="1"/>
    </xf>
    <xf numFmtId="0" fontId="9" fillId="16" borderId="37" xfId="0" applyFont="1" applyFill="1" applyBorder="1" applyAlignment="1" applyProtection="1">
      <alignment horizontal="center" vertical="center" wrapText="1"/>
      <protection hidden="1"/>
    </xf>
    <xf numFmtId="0" fontId="6" fillId="21" borderId="79" xfId="0" applyFont="1" applyFill="1" applyBorder="1" applyAlignment="1" applyProtection="1">
      <alignment horizontal="center" vertical="center" wrapText="1"/>
      <protection hidden="1"/>
    </xf>
    <xf numFmtId="0" fontId="6" fillId="21" borderId="70" xfId="0" applyFont="1" applyFill="1" applyBorder="1" applyAlignment="1" applyProtection="1">
      <alignment horizontal="center" vertical="center" wrapText="1"/>
      <protection hidden="1"/>
    </xf>
    <xf numFmtId="0" fontId="6" fillId="21" borderId="74" xfId="0" applyFont="1" applyFill="1" applyBorder="1" applyAlignment="1" applyProtection="1">
      <alignment horizontal="center" vertical="center" wrapText="1"/>
      <protection hidden="1"/>
    </xf>
    <xf numFmtId="169" fontId="7" fillId="15" borderId="25" xfId="0" applyNumberFormat="1" applyFont="1" applyFill="1" applyBorder="1" applyAlignment="1" applyProtection="1">
      <alignment horizontal="center" vertical="center" wrapText="1"/>
      <protection hidden="1"/>
    </xf>
    <xf numFmtId="169" fontId="7" fillId="15" borderId="27" xfId="0" applyNumberFormat="1" applyFont="1" applyFill="1" applyBorder="1" applyAlignment="1" applyProtection="1">
      <alignment horizontal="center" vertical="center" wrapText="1"/>
      <protection hidden="1"/>
    </xf>
    <xf numFmtId="0" fontId="7" fillId="12" borderId="23" xfId="0" applyFont="1" applyFill="1" applyBorder="1" applyAlignment="1" applyProtection="1">
      <alignment horizontal="center" vertical="center" wrapText="1"/>
      <protection hidden="1"/>
    </xf>
    <xf numFmtId="0" fontId="7" fillId="12" borderId="14" xfId="0" applyFont="1" applyFill="1" applyBorder="1" applyAlignment="1" applyProtection="1">
      <alignment horizontal="center" vertical="center" wrapText="1"/>
      <protection hidden="1"/>
    </xf>
    <xf numFmtId="0" fontId="7" fillId="12" borderId="27" xfId="0" applyFont="1" applyFill="1" applyBorder="1" applyAlignment="1" applyProtection="1">
      <alignment horizontal="center" vertical="center" wrapText="1"/>
      <protection hidden="1"/>
    </xf>
    <xf numFmtId="0" fontId="7" fillId="12" borderId="63" xfId="0" applyFont="1" applyFill="1" applyBorder="1" applyAlignment="1" applyProtection="1">
      <alignment horizontal="center" vertical="center" wrapText="1"/>
      <protection hidden="1"/>
    </xf>
    <xf numFmtId="0" fontId="14" fillId="0" borderId="6" xfId="0" applyFont="1" applyFill="1" applyBorder="1" applyAlignment="1" applyProtection="1">
      <alignment horizontal="center" vertical="center" wrapText="1"/>
      <protection hidden="1"/>
    </xf>
    <xf numFmtId="0" fontId="14" fillId="0" borderId="7" xfId="0" applyFont="1" applyFill="1" applyBorder="1" applyAlignment="1" applyProtection="1">
      <alignment horizontal="center" vertical="center" wrapText="1"/>
      <protection hidden="1"/>
    </xf>
    <xf numFmtId="0" fontId="14" fillId="0" borderId="8" xfId="0" applyFont="1" applyFill="1" applyBorder="1" applyAlignment="1" applyProtection="1">
      <alignment horizontal="center" vertical="center" wrapText="1"/>
      <protection hidden="1"/>
    </xf>
    <xf numFmtId="169" fontId="7" fillId="19" borderId="28" xfId="0" applyNumberFormat="1" applyFont="1" applyFill="1" applyBorder="1" applyAlignment="1" applyProtection="1">
      <alignment horizontal="center" vertical="center" wrapText="1"/>
      <protection hidden="1"/>
    </xf>
    <xf numFmtId="169" fontId="7" fillId="19" borderId="21" xfId="0" applyNumberFormat="1" applyFont="1" applyFill="1" applyBorder="1" applyAlignment="1" applyProtection="1">
      <alignment horizontal="center" vertical="center" wrapText="1"/>
      <protection hidden="1"/>
    </xf>
    <xf numFmtId="14" fontId="7" fillId="19" borderId="22" xfId="0" applyNumberFormat="1" applyFont="1" applyFill="1" applyBorder="1" applyAlignment="1" applyProtection="1">
      <alignment horizontal="center" vertical="center" wrapText="1"/>
      <protection hidden="1"/>
    </xf>
    <xf numFmtId="14" fontId="7" fillId="19" borderId="20" xfId="0" applyNumberFormat="1" applyFont="1" applyFill="1" applyBorder="1" applyAlignment="1" applyProtection="1">
      <alignment horizontal="center" vertical="center" wrapText="1"/>
      <protection hidden="1"/>
    </xf>
    <xf numFmtId="0" fontId="7" fillId="19" borderId="12" xfId="0" applyFont="1" applyFill="1" applyBorder="1" applyAlignment="1" applyProtection="1">
      <alignment horizontal="center" vertical="center" wrapText="1"/>
      <protection hidden="1"/>
    </xf>
    <xf numFmtId="0" fontId="7" fillId="19" borderId="18" xfId="0" applyFont="1" applyFill="1" applyBorder="1" applyAlignment="1" applyProtection="1">
      <alignment horizontal="center" vertical="center" wrapText="1"/>
      <protection hidden="1"/>
    </xf>
    <xf numFmtId="0" fontId="7" fillId="2" borderId="6" xfId="0" applyFont="1" applyFill="1" applyBorder="1" applyAlignment="1" applyProtection="1">
      <alignment horizontal="center" vertical="center" wrapText="1"/>
      <protection hidden="1"/>
    </xf>
    <xf numFmtId="0" fontId="7" fillId="2" borderId="7" xfId="0" applyFont="1" applyFill="1" applyBorder="1" applyAlignment="1" applyProtection="1">
      <alignment horizontal="center" vertical="center" wrapText="1"/>
      <protection hidden="1"/>
    </xf>
    <xf numFmtId="0" fontId="7" fillId="2" borderId="8" xfId="0" applyFont="1" applyFill="1" applyBorder="1" applyAlignment="1" applyProtection="1">
      <alignment horizontal="center" vertical="center" wrapText="1"/>
      <protection hidden="1"/>
    </xf>
    <xf numFmtId="0" fontId="7" fillId="5" borderId="35" xfId="0" applyFont="1" applyFill="1" applyBorder="1" applyAlignment="1" applyProtection="1">
      <alignment horizontal="left" vertical="center" wrapText="1"/>
      <protection hidden="1"/>
    </xf>
    <xf numFmtId="0" fontId="7" fillId="5" borderId="23" xfId="0" applyFont="1" applyFill="1" applyBorder="1" applyAlignment="1" applyProtection="1">
      <alignment horizontal="left" vertical="center" wrapText="1"/>
      <protection hidden="1"/>
    </xf>
    <xf numFmtId="0" fontId="39" fillId="4" borderId="68" xfId="0" applyFont="1" applyFill="1" applyBorder="1" applyAlignment="1" applyProtection="1">
      <alignment horizontal="center" vertical="center" wrapText="1"/>
      <protection hidden="1"/>
    </xf>
    <xf numFmtId="0" fontId="39" fillId="4" borderId="69" xfId="0" applyFont="1" applyFill="1" applyBorder="1" applyAlignment="1" applyProtection="1">
      <alignment horizontal="center" vertical="center" wrapText="1"/>
      <protection hidden="1"/>
    </xf>
    <xf numFmtId="0" fontId="6" fillId="5" borderId="32" xfId="0" applyFont="1" applyFill="1" applyBorder="1" applyAlignment="1" applyProtection="1">
      <alignment horizontal="center" vertical="center" wrapText="1"/>
      <protection hidden="1"/>
    </xf>
    <xf numFmtId="0" fontId="6" fillId="5" borderId="9" xfId="0" applyFont="1" applyFill="1" applyBorder="1" applyAlignment="1" applyProtection="1">
      <alignment horizontal="center" vertical="center" wrapText="1"/>
      <protection hidden="1"/>
    </xf>
    <xf numFmtId="0" fontId="13" fillId="4" borderId="35" xfId="0" applyFont="1" applyFill="1" applyBorder="1" applyAlignment="1" applyProtection="1">
      <alignment horizontal="center" vertical="center" wrapText="1"/>
      <protection hidden="1"/>
    </xf>
    <xf numFmtId="0" fontId="13" fillId="4" borderId="23" xfId="0" applyFont="1" applyFill="1" applyBorder="1" applyAlignment="1" applyProtection="1">
      <alignment horizontal="center" vertical="center" wrapText="1"/>
      <protection hidden="1"/>
    </xf>
    <xf numFmtId="0" fontId="13" fillId="4" borderId="14" xfId="0" applyFont="1" applyFill="1" applyBorder="1" applyAlignment="1" applyProtection="1">
      <alignment horizontal="center" vertical="center" wrapText="1"/>
      <protection hidden="1"/>
    </xf>
    <xf numFmtId="0" fontId="6" fillId="16" borderId="30" xfId="0" applyFont="1" applyFill="1" applyBorder="1" applyAlignment="1" applyProtection="1">
      <alignment horizontal="center" vertical="center" wrapText="1"/>
      <protection hidden="1"/>
    </xf>
    <xf numFmtId="0" fontId="6" fillId="16" borderId="18" xfId="0" applyFont="1" applyFill="1" applyBorder="1" applyAlignment="1" applyProtection="1">
      <alignment horizontal="center" vertical="center" wrapText="1"/>
      <protection hidden="1"/>
    </xf>
    <xf numFmtId="0" fontId="37" fillId="2" borderId="0" xfId="0" applyFont="1" applyFill="1" applyBorder="1" applyAlignment="1" applyProtection="1">
      <alignment horizontal="center" vertical="center" wrapText="1"/>
      <protection hidden="1"/>
    </xf>
    <xf numFmtId="0" fontId="6" fillId="5" borderId="56" xfId="0" applyFont="1" applyFill="1" applyBorder="1" applyAlignment="1" applyProtection="1">
      <alignment horizontal="left" vertical="center" wrapText="1"/>
      <protection hidden="1"/>
    </xf>
    <xf numFmtId="0" fontId="6" fillId="5" borderId="61" xfId="0" applyFont="1" applyFill="1" applyBorder="1" applyAlignment="1" applyProtection="1">
      <alignment horizontal="left" vertical="center" wrapText="1"/>
      <protection hidden="1"/>
    </xf>
    <xf numFmtId="0" fontId="13" fillId="2" borderId="10" xfId="0" applyFont="1" applyFill="1" applyBorder="1" applyAlignment="1" applyProtection="1">
      <alignment horizontal="center" vertical="center" wrapText="1"/>
      <protection hidden="1"/>
    </xf>
    <xf numFmtId="0" fontId="13" fillId="2" borderId="0" xfId="0" applyFont="1" applyFill="1" applyBorder="1" applyAlignment="1" applyProtection="1">
      <alignment horizontal="center" vertical="center" wrapText="1"/>
      <protection hidden="1"/>
    </xf>
    <xf numFmtId="0" fontId="6" fillId="5" borderId="58" xfId="0" applyFont="1" applyFill="1" applyBorder="1" applyAlignment="1" applyProtection="1">
      <alignment horizontal="left" vertical="center" wrapText="1"/>
      <protection hidden="1"/>
    </xf>
    <xf numFmtId="0" fontId="6" fillId="5" borderId="54" xfId="0" applyFont="1" applyFill="1" applyBorder="1" applyAlignment="1" applyProtection="1">
      <alignment horizontal="left" vertical="center" wrapText="1"/>
      <protection hidden="1"/>
    </xf>
    <xf numFmtId="0" fontId="6" fillId="5" borderId="35" xfId="0" applyFont="1" applyFill="1" applyBorder="1" applyAlignment="1" applyProtection="1">
      <alignment horizontal="left" vertical="center" wrapText="1"/>
      <protection hidden="1"/>
    </xf>
    <xf numFmtId="0" fontId="6" fillId="5" borderId="33" xfId="0" applyFont="1" applyFill="1" applyBorder="1" applyAlignment="1" applyProtection="1">
      <alignment horizontal="left" vertical="center" wrapText="1"/>
      <protection hidden="1"/>
    </xf>
    <xf numFmtId="0" fontId="6" fillId="5" borderId="21" xfId="0" applyFont="1" applyFill="1" applyBorder="1" applyAlignment="1" applyProtection="1">
      <alignment horizontal="center" vertical="center" wrapText="1"/>
      <protection hidden="1"/>
    </xf>
    <xf numFmtId="0" fontId="6" fillId="5" borderId="58" xfId="0" applyFont="1" applyFill="1" applyBorder="1" applyAlignment="1" applyProtection="1">
      <alignment horizontal="center" vertical="top" wrapText="1"/>
      <protection hidden="1"/>
    </xf>
    <xf numFmtId="0" fontId="6" fillId="5" borderId="54" xfId="0" applyFont="1" applyFill="1" applyBorder="1" applyAlignment="1" applyProtection="1">
      <alignment horizontal="center" vertical="top" wrapText="1"/>
      <protection hidden="1"/>
    </xf>
    <xf numFmtId="0" fontId="14" fillId="5" borderId="6" xfId="0" applyFont="1" applyFill="1" applyBorder="1" applyAlignment="1" applyProtection="1">
      <alignment horizontal="center" vertical="center" wrapText="1"/>
      <protection hidden="1"/>
    </xf>
    <xf numFmtId="0" fontId="14" fillId="5" borderId="7" xfId="0" applyFont="1" applyFill="1" applyBorder="1" applyAlignment="1" applyProtection="1">
      <alignment horizontal="center" vertical="center" wrapText="1"/>
      <protection hidden="1"/>
    </xf>
    <xf numFmtId="0" fontId="14" fillId="5" borderId="8" xfId="0" applyFont="1" applyFill="1" applyBorder="1" applyAlignment="1" applyProtection="1">
      <alignment horizontal="center" vertical="center" wrapText="1"/>
      <protection hidden="1"/>
    </xf>
    <xf numFmtId="0" fontId="77" fillId="5" borderId="56" xfId="0" applyFont="1" applyFill="1" applyBorder="1" applyAlignment="1" applyProtection="1">
      <alignment horizontal="justify" vertical="center" wrapText="1"/>
      <protection hidden="1"/>
    </xf>
    <xf numFmtId="0" fontId="77" fillId="5" borderId="61" xfId="0" applyFont="1" applyFill="1" applyBorder="1" applyAlignment="1" applyProtection="1">
      <alignment horizontal="justify" vertical="center" wrapText="1"/>
      <protection hidden="1"/>
    </xf>
    <xf numFmtId="0" fontId="6" fillId="5" borderId="35" xfId="0" applyFont="1" applyFill="1" applyBorder="1" applyAlignment="1" applyProtection="1">
      <alignment horizontal="justify" vertical="center" wrapText="1"/>
      <protection hidden="1"/>
    </xf>
    <xf numFmtId="0" fontId="6" fillId="5" borderId="33" xfId="0" applyFont="1" applyFill="1" applyBorder="1" applyAlignment="1" applyProtection="1">
      <alignment horizontal="justify" vertical="center" wrapText="1"/>
      <protection hidden="1"/>
    </xf>
    <xf numFmtId="0" fontId="13" fillId="8" borderId="10" xfId="0" applyFont="1" applyFill="1" applyBorder="1" applyAlignment="1" applyProtection="1">
      <alignment horizontal="center" vertical="center"/>
      <protection hidden="1"/>
    </xf>
    <xf numFmtId="0" fontId="13" fillId="8" borderId="0" xfId="0" applyFont="1" applyFill="1" applyBorder="1" applyAlignment="1" applyProtection="1">
      <alignment horizontal="center" vertical="center"/>
      <protection hidden="1"/>
    </xf>
    <xf numFmtId="0" fontId="13" fillId="8" borderId="16" xfId="0" applyFont="1" applyFill="1" applyBorder="1" applyAlignment="1" applyProtection="1">
      <alignment horizontal="center" vertical="center"/>
      <protection hidden="1"/>
    </xf>
    <xf numFmtId="0" fontId="77" fillId="5" borderId="43" xfId="0" applyFont="1" applyFill="1" applyBorder="1" applyAlignment="1" applyProtection="1">
      <alignment horizontal="justify" vertical="center" wrapText="1"/>
      <protection hidden="1"/>
    </xf>
    <xf numFmtId="0" fontId="77" fillId="5" borderId="44" xfId="0" applyFont="1" applyFill="1" applyBorder="1" applyAlignment="1" applyProtection="1">
      <alignment horizontal="justify" vertical="center" wrapText="1"/>
      <protection hidden="1"/>
    </xf>
    <xf numFmtId="0" fontId="6" fillId="16" borderId="58" xfId="0" applyFont="1" applyFill="1" applyBorder="1" applyAlignment="1" applyProtection="1">
      <alignment vertical="center" wrapText="1"/>
      <protection hidden="1"/>
    </xf>
    <xf numFmtId="0" fontId="6" fillId="16" borderId="54" xfId="0" applyFont="1" applyFill="1" applyBorder="1" applyAlignment="1" applyProtection="1">
      <alignment vertical="center" wrapText="1"/>
      <protection hidden="1"/>
    </xf>
    <xf numFmtId="2" fontId="5" fillId="20" borderId="9" xfId="0" applyNumberFormat="1" applyFont="1" applyFill="1" applyBorder="1" applyAlignment="1" applyProtection="1">
      <alignment horizontal="center" vertical="center" wrapText="1"/>
      <protection hidden="1"/>
    </xf>
    <xf numFmtId="0" fontId="9" fillId="5" borderId="36" xfId="0" applyFont="1" applyFill="1" applyBorder="1" applyAlignment="1" applyProtection="1">
      <alignment horizontal="center" vertical="center" wrapText="1"/>
      <protection hidden="1"/>
    </xf>
    <xf numFmtId="0" fontId="6" fillId="16" borderId="58" xfId="0" applyFont="1" applyFill="1" applyBorder="1" applyAlignment="1" applyProtection="1">
      <alignment horizontal="justify" vertical="center" wrapText="1"/>
      <protection hidden="1"/>
    </xf>
    <xf numFmtId="0" fontId="6" fillId="16" borderId="54" xfId="0" applyFont="1" applyFill="1" applyBorder="1" applyAlignment="1" applyProtection="1">
      <alignment horizontal="justify" vertical="center" wrapText="1"/>
      <protection hidden="1"/>
    </xf>
    <xf numFmtId="0" fontId="9" fillId="5" borderId="30" xfId="0" applyFont="1" applyFill="1" applyBorder="1" applyAlignment="1" applyProtection="1">
      <alignment horizontal="center" vertical="center" wrapText="1"/>
      <protection hidden="1"/>
    </xf>
    <xf numFmtId="0" fontId="9" fillId="5" borderId="18" xfId="0" applyFont="1" applyFill="1" applyBorder="1" applyAlignment="1" applyProtection="1">
      <alignment horizontal="center" vertical="center" wrapText="1"/>
      <protection hidden="1"/>
    </xf>
    <xf numFmtId="0" fontId="5" fillId="7" borderId="32" xfId="0" applyFont="1" applyFill="1" applyBorder="1" applyAlignment="1" applyProtection="1">
      <alignment horizontal="center" vertical="center" wrapText="1"/>
      <protection hidden="1"/>
    </xf>
    <xf numFmtId="0" fontId="5" fillId="7" borderId="9" xfId="0" applyFont="1" applyFill="1" applyBorder="1" applyAlignment="1" applyProtection="1">
      <alignment horizontal="center" vertical="center" wrapText="1"/>
      <protection hidden="1"/>
    </xf>
    <xf numFmtId="0" fontId="7" fillId="7" borderId="43" xfId="0" applyFont="1" applyFill="1" applyBorder="1" applyAlignment="1" applyProtection="1">
      <alignment horizontal="center" vertical="center" wrapText="1"/>
      <protection hidden="1"/>
    </xf>
    <xf numFmtId="0" fontId="7" fillId="7" borderId="44" xfId="0" applyFont="1" applyFill="1" applyBorder="1" applyAlignment="1" applyProtection="1">
      <alignment horizontal="center" vertical="center" wrapText="1"/>
      <protection hidden="1"/>
    </xf>
    <xf numFmtId="0" fontId="9" fillId="21" borderId="2" xfId="0" applyFont="1" applyFill="1" applyBorder="1" applyAlignment="1" applyProtection="1">
      <alignment horizontal="center" vertical="center" wrapText="1"/>
      <protection hidden="1"/>
    </xf>
    <xf numFmtId="0" fontId="9" fillId="21" borderId="3" xfId="0" applyFont="1" applyFill="1" applyBorder="1" applyAlignment="1" applyProtection="1">
      <alignment horizontal="center" vertical="center" wrapText="1"/>
      <protection hidden="1"/>
    </xf>
    <xf numFmtId="0" fontId="9" fillId="21" borderId="82" xfId="0" applyFont="1" applyFill="1" applyBorder="1" applyAlignment="1" applyProtection="1">
      <alignment horizontal="center" vertical="center" wrapText="1"/>
      <protection hidden="1"/>
    </xf>
    <xf numFmtId="0" fontId="9" fillId="16" borderId="29" xfId="0" applyFont="1" applyFill="1" applyBorder="1" applyAlignment="1" applyProtection="1">
      <alignment horizontal="center" vertical="center" wrapText="1"/>
      <protection hidden="1"/>
    </xf>
    <xf numFmtId="0" fontId="9" fillId="16" borderId="3" xfId="0" applyFont="1" applyFill="1" applyBorder="1" applyAlignment="1" applyProtection="1">
      <alignment horizontal="center" vertical="center" wrapText="1"/>
      <protection hidden="1"/>
    </xf>
    <xf numFmtId="0" fontId="9" fillId="16" borderId="82" xfId="0" applyFont="1" applyFill="1" applyBorder="1" applyAlignment="1" applyProtection="1">
      <alignment horizontal="center" vertical="center" wrapText="1"/>
      <protection hidden="1"/>
    </xf>
    <xf numFmtId="0" fontId="6" fillId="16" borderId="6" xfId="0" applyFont="1" applyFill="1" applyBorder="1" applyAlignment="1" applyProtection="1">
      <alignment horizontal="justify" vertical="center" wrapText="1"/>
      <protection hidden="1"/>
    </xf>
    <xf numFmtId="0" fontId="6" fillId="16" borderId="8" xfId="0" applyFont="1" applyFill="1" applyBorder="1" applyAlignment="1" applyProtection="1">
      <alignment horizontal="justify" vertical="center" wrapText="1"/>
      <protection hidden="1"/>
    </xf>
    <xf numFmtId="0" fontId="7" fillId="7" borderId="39" xfId="0" applyFont="1" applyFill="1" applyBorder="1" applyAlignment="1" applyProtection="1">
      <alignment horizontal="center" vertical="center" wrapText="1"/>
      <protection hidden="1"/>
    </xf>
    <xf numFmtId="0" fontId="7" fillId="7" borderId="40" xfId="0" applyFont="1" applyFill="1" applyBorder="1" applyAlignment="1" applyProtection="1">
      <alignment horizontal="center" vertical="center" wrapText="1"/>
      <protection hidden="1"/>
    </xf>
    <xf numFmtId="0" fontId="6" fillId="5" borderId="7" xfId="0" applyFont="1" applyFill="1" applyBorder="1" applyAlignment="1" applyProtection="1">
      <alignment horizontal="center" vertical="center" wrapText="1"/>
      <protection hidden="1"/>
    </xf>
    <xf numFmtId="0" fontId="6" fillId="21" borderId="30" xfId="0" applyFont="1" applyFill="1" applyBorder="1" applyAlignment="1" applyProtection="1">
      <alignment horizontal="center" vertical="center" wrapText="1"/>
      <protection hidden="1"/>
    </xf>
    <xf numFmtId="0" fontId="6" fillId="21" borderId="18" xfId="0" applyFont="1" applyFill="1" applyBorder="1" applyAlignment="1" applyProtection="1">
      <alignment horizontal="center" vertical="center" wrapText="1"/>
      <protection hidden="1"/>
    </xf>
    <xf numFmtId="0" fontId="13" fillId="8" borderId="6" xfId="0" applyFont="1" applyFill="1" applyBorder="1" applyAlignment="1" applyProtection="1">
      <alignment horizontal="center" vertical="center" wrapText="1"/>
      <protection hidden="1"/>
    </xf>
    <xf numFmtId="0" fontId="13" fillId="8" borderId="7" xfId="0" applyFont="1" applyFill="1" applyBorder="1" applyAlignment="1" applyProtection="1">
      <alignment horizontal="center" vertical="center" wrapText="1"/>
      <protection hidden="1"/>
    </xf>
    <xf numFmtId="0" fontId="13" fillId="8" borderId="8" xfId="0" applyFont="1" applyFill="1" applyBorder="1" applyAlignment="1" applyProtection="1">
      <alignment horizontal="center" vertical="center" wrapText="1"/>
      <protection hidden="1"/>
    </xf>
    <xf numFmtId="167" fontId="7" fillId="7" borderId="54" xfId="0" applyNumberFormat="1" applyFont="1" applyFill="1" applyBorder="1" applyAlignment="1" applyProtection="1">
      <alignment horizontal="center" vertical="center" wrapText="1"/>
      <protection hidden="1"/>
    </xf>
    <xf numFmtId="167" fontId="7" fillId="7" borderId="33" xfId="0" applyNumberFormat="1" applyFont="1" applyFill="1" applyBorder="1" applyAlignment="1" applyProtection="1">
      <alignment horizontal="center" vertical="center" wrapText="1"/>
      <protection hidden="1"/>
    </xf>
    <xf numFmtId="167" fontId="7" fillId="7" borderId="61" xfId="0" applyNumberFormat="1" applyFont="1" applyFill="1" applyBorder="1" applyAlignment="1" applyProtection="1">
      <alignment horizontal="center" vertical="center" wrapText="1"/>
      <protection hidden="1"/>
    </xf>
    <xf numFmtId="1" fontId="7" fillId="7" borderId="68" xfId="0" applyNumberFormat="1" applyFont="1" applyFill="1" applyBorder="1" applyAlignment="1" applyProtection="1">
      <alignment horizontal="center" vertical="center" wrapText="1"/>
      <protection hidden="1"/>
    </xf>
    <xf numFmtId="1" fontId="7" fillId="7" borderId="66" xfId="0" applyNumberFormat="1" applyFont="1" applyFill="1" applyBorder="1" applyAlignment="1" applyProtection="1">
      <alignment horizontal="center" vertical="center" wrapText="1"/>
      <protection hidden="1"/>
    </xf>
    <xf numFmtId="1" fontId="7" fillId="7" borderId="69" xfId="0" applyNumberFormat="1" applyFont="1" applyFill="1" applyBorder="1" applyAlignment="1" applyProtection="1">
      <alignment horizontal="center" vertical="center" wrapText="1"/>
      <protection hidden="1"/>
    </xf>
    <xf numFmtId="0" fontId="6" fillId="5" borderId="39" xfId="0" applyFont="1" applyFill="1" applyBorder="1" applyAlignment="1" applyProtection="1">
      <alignment horizontal="center" vertical="center" wrapText="1"/>
      <protection hidden="1"/>
    </xf>
    <xf numFmtId="0" fontId="6" fillId="5" borderId="41" xfId="0" applyFont="1" applyFill="1" applyBorder="1" applyAlignment="1" applyProtection="1">
      <alignment horizontal="center" vertical="center" wrapText="1"/>
      <protection hidden="1"/>
    </xf>
    <xf numFmtId="0" fontId="40" fillId="5" borderId="6" xfId="0" applyFont="1" applyFill="1" applyBorder="1" applyAlignment="1" applyProtection="1">
      <alignment horizontal="center" vertical="center" wrapText="1"/>
      <protection hidden="1"/>
    </xf>
    <xf numFmtId="0" fontId="40" fillId="5" borderId="7" xfId="0" applyFont="1" applyFill="1" applyBorder="1" applyAlignment="1" applyProtection="1">
      <alignment horizontal="center" vertical="center" wrapText="1"/>
      <protection hidden="1"/>
    </xf>
    <xf numFmtId="0" fontId="40" fillId="5" borderId="8" xfId="0" applyFont="1" applyFill="1" applyBorder="1" applyAlignment="1" applyProtection="1">
      <alignment horizontal="center" vertical="center" wrapText="1"/>
      <protection hidden="1"/>
    </xf>
    <xf numFmtId="0" fontId="6" fillId="5" borderId="30" xfId="0" applyFont="1" applyFill="1" applyBorder="1" applyAlignment="1" applyProtection="1">
      <alignment horizontal="left" vertical="center" wrapText="1"/>
      <protection hidden="1"/>
    </xf>
    <xf numFmtId="0" fontId="6" fillId="5" borderId="36" xfId="0" applyFont="1" applyFill="1" applyBorder="1" applyAlignment="1" applyProtection="1">
      <alignment horizontal="left" vertical="center" wrapText="1"/>
      <protection hidden="1"/>
    </xf>
    <xf numFmtId="0" fontId="6" fillId="7" borderId="43" xfId="0" applyFont="1" applyFill="1" applyBorder="1" applyAlignment="1" applyProtection="1">
      <alignment horizontal="left" vertical="center" wrapText="1"/>
      <protection hidden="1"/>
    </xf>
    <xf numFmtId="0" fontId="6" fillId="7" borderId="37" xfId="0" applyFont="1" applyFill="1" applyBorder="1" applyAlignment="1" applyProtection="1">
      <alignment horizontal="left" vertical="center" wrapText="1"/>
      <protection hidden="1"/>
    </xf>
    <xf numFmtId="0" fontId="6" fillId="5" borderId="6" xfId="0" applyFont="1" applyFill="1" applyBorder="1" applyAlignment="1">
      <alignment horizontal="center" vertical="center" wrapText="1"/>
    </xf>
    <xf numFmtId="0" fontId="6" fillId="5" borderId="8" xfId="0" applyFont="1" applyFill="1" applyBorder="1" applyAlignment="1">
      <alignment horizontal="center" vertical="center" wrapText="1"/>
    </xf>
    <xf numFmtId="0" fontId="6" fillId="5" borderId="19" xfId="0" applyFont="1" applyFill="1" applyBorder="1" applyAlignment="1">
      <alignment horizontal="center" vertical="center" wrapText="1"/>
    </xf>
    <xf numFmtId="0" fontId="6" fillId="5" borderId="20" xfId="0" applyFont="1" applyFill="1" applyBorder="1" applyAlignment="1">
      <alignment horizontal="center" vertical="center" wrapText="1"/>
    </xf>
    <xf numFmtId="0" fontId="6" fillId="5" borderId="22"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6" fillId="5" borderId="4" xfId="0" applyFont="1" applyFill="1" applyBorder="1" applyAlignment="1">
      <alignment horizontal="center" vertical="center" wrapText="1"/>
    </xf>
    <xf numFmtId="0" fontId="3" fillId="32" borderId="56" xfId="0" applyFont="1" applyFill="1" applyBorder="1" applyAlignment="1">
      <alignment horizontal="center" vertical="center" wrapText="1"/>
    </xf>
    <xf numFmtId="0" fontId="3" fillId="32" borderId="62" xfId="0" applyFont="1" applyFill="1" applyBorder="1" applyAlignment="1">
      <alignment horizontal="center" vertical="center" wrapText="1"/>
    </xf>
    <xf numFmtId="0" fontId="3" fillId="32" borderId="61" xfId="0" applyFont="1" applyFill="1" applyBorder="1" applyAlignment="1">
      <alignment horizontal="center" vertical="center" wrapText="1"/>
    </xf>
    <xf numFmtId="0" fontId="3" fillId="32" borderId="47" xfId="0" applyFont="1" applyFill="1" applyBorder="1" applyAlignment="1">
      <alignment horizontal="center" vertical="center"/>
    </xf>
    <xf numFmtId="0" fontId="3" fillId="32" borderId="5" xfId="0" applyFont="1" applyFill="1" applyBorder="1" applyAlignment="1">
      <alignment horizontal="center" vertical="center"/>
    </xf>
    <xf numFmtId="0" fontId="3" fillId="32" borderId="38" xfId="0" applyFont="1" applyFill="1" applyBorder="1" applyAlignment="1">
      <alignment horizontal="center" vertical="center"/>
    </xf>
    <xf numFmtId="0" fontId="3" fillId="0" borderId="11" xfId="0" applyFont="1" applyBorder="1" applyAlignment="1">
      <alignment horizontal="center"/>
    </xf>
    <xf numFmtId="0" fontId="3" fillId="0" borderId="23" xfId="0" applyFont="1" applyBorder="1" applyAlignment="1">
      <alignment horizontal="center"/>
    </xf>
    <xf numFmtId="0" fontId="3" fillId="0" borderId="14" xfId="0" applyFont="1" applyBorder="1" applyAlignment="1">
      <alignment horizontal="center"/>
    </xf>
    <xf numFmtId="0" fontId="6" fillId="0" borderId="11" xfId="0" applyFont="1" applyBorder="1" applyAlignment="1">
      <alignment horizontal="center" vertical="center" wrapText="1"/>
    </xf>
    <xf numFmtId="0" fontId="6" fillId="0" borderId="23" xfId="0" applyFont="1" applyBorder="1" applyAlignment="1">
      <alignment horizontal="center" vertical="center" wrapText="1"/>
    </xf>
    <xf numFmtId="0" fontId="6" fillId="0" borderId="14" xfId="0" applyFont="1" applyBorder="1" applyAlignment="1">
      <alignment horizontal="center" vertical="center" wrapText="1"/>
    </xf>
    <xf numFmtId="0" fontId="32" fillId="4" borderId="48" xfId="0" applyFont="1" applyFill="1" applyBorder="1" applyAlignment="1" applyProtection="1">
      <alignment horizontal="center" vertical="center" wrapText="1"/>
      <protection hidden="1"/>
    </xf>
    <xf numFmtId="0" fontId="32" fillId="4" borderId="40" xfId="0" applyFont="1" applyFill="1" applyBorder="1" applyAlignment="1" applyProtection="1">
      <alignment horizontal="center" vertical="center" wrapText="1"/>
      <protection hidden="1"/>
    </xf>
    <xf numFmtId="0" fontId="32" fillId="4" borderId="41" xfId="0" applyFont="1" applyFill="1" applyBorder="1" applyAlignment="1" applyProtection="1">
      <alignment horizontal="center" vertical="center" wrapText="1"/>
      <protection hidden="1"/>
    </xf>
    <xf numFmtId="0" fontId="32" fillId="4" borderId="43" xfId="0" applyFont="1" applyFill="1" applyBorder="1" applyAlignment="1" applyProtection="1">
      <alignment horizontal="center" vertical="center" wrapText="1"/>
      <protection hidden="1"/>
    </xf>
    <xf numFmtId="0" fontId="32" fillId="4" borderId="44" xfId="0" applyFont="1" applyFill="1" applyBorder="1" applyAlignment="1" applyProtection="1">
      <alignment horizontal="center" vertical="center" wrapText="1"/>
      <protection hidden="1"/>
    </xf>
    <xf numFmtId="0" fontId="32" fillId="4" borderId="37" xfId="0" applyFont="1" applyFill="1" applyBorder="1" applyAlignment="1" applyProtection="1">
      <alignment horizontal="center" vertical="center" wrapText="1"/>
      <protection hidden="1"/>
    </xf>
    <xf numFmtId="169" fontId="17" fillId="19" borderId="22" xfId="0" applyNumberFormat="1" applyFont="1" applyFill="1" applyBorder="1" applyAlignment="1" applyProtection="1">
      <alignment horizontal="center" vertical="center" wrapText="1"/>
      <protection hidden="1"/>
    </xf>
    <xf numFmtId="14" fontId="17" fillId="19" borderId="22" xfId="0" applyNumberFormat="1" applyFont="1" applyFill="1" applyBorder="1" applyAlignment="1" applyProtection="1">
      <alignment horizontal="center" vertical="center" wrapText="1"/>
      <protection hidden="1"/>
    </xf>
    <xf numFmtId="14" fontId="17" fillId="19" borderId="20" xfId="0" applyNumberFormat="1" applyFont="1" applyFill="1" applyBorder="1" applyAlignment="1" applyProtection="1">
      <alignment horizontal="center" vertical="center" wrapText="1"/>
      <protection hidden="1"/>
    </xf>
    <xf numFmtId="0" fontId="32" fillId="4" borderId="2" xfId="0" applyFont="1" applyFill="1" applyBorder="1" applyAlignment="1" applyProtection="1">
      <alignment horizontal="center" vertical="center" wrapText="1"/>
      <protection hidden="1"/>
    </xf>
    <xf numFmtId="0" fontId="32" fillId="4" borderId="3" xfId="0" applyFont="1" applyFill="1" applyBorder="1" applyAlignment="1" applyProtection="1">
      <alignment horizontal="center" vertical="center" wrapText="1"/>
      <protection hidden="1"/>
    </xf>
    <xf numFmtId="0" fontId="32" fillId="4" borderId="4" xfId="0" applyFont="1" applyFill="1" applyBorder="1" applyAlignment="1" applyProtection="1">
      <alignment horizontal="center" vertical="center" wrapText="1"/>
      <protection hidden="1"/>
    </xf>
    <xf numFmtId="0" fontId="32" fillId="4" borderId="47" xfId="0" applyFont="1" applyFill="1" applyBorder="1" applyAlignment="1" applyProtection="1">
      <alignment horizontal="center" vertical="center" wrapText="1"/>
      <protection hidden="1"/>
    </xf>
    <xf numFmtId="0" fontId="32" fillId="4" borderId="5" xfId="0" applyFont="1" applyFill="1" applyBorder="1" applyAlignment="1" applyProtection="1">
      <alignment horizontal="center" vertical="center" wrapText="1"/>
      <protection hidden="1"/>
    </xf>
    <xf numFmtId="0" fontId="32" fillId="4" borderId="38" xfId="0" applyFont="1" applyFill="1" applyBorder="1" applyAlignment="1" applyProtection="1">
      <alignment horizontal="center" vertical="center" wrapText="1"/>
      <protection hidden="1"/>
    </xf>
    <xf numFmtId="0" fontId="19" fillId="4" borderId="6" xfId="0" applyFont="1" applyFill="1" applyBorder="1" applyAlignment="1" applyProtection="1">
      <alignment horizontal="center" vertical="center" wrapText="1"/>
      <protection hidden="1"/>
    </xf>
    <xf numFmtId="0" fontId="19" fillId="4" borderId="7" xfId="0" applyFont="1" applyFill="1" applyBorder="1" applyAlignment="1" applyProtection="1">
      <alignment horizontal="center" vertical="center" wrapText="1"/>
      <protection hidden="1"/>
    </xf>
    <xf numFmtId="0" fontId="19" fillId="4" borderId="8" xfId="0" applyFont="1" applyFill="1" applyBorder="1" applyAlignment="1" applyProtection="1">
      <alignment horizontal="center" vertical="center" wrapText="1"/>
      <protection hidden="1"/>
    </xf>
    <xf numFmtId="0" fontId="28" fillId="0" borderId="6" xfId="0" applyFont="1" applyFill="1" applyBorder="1" applyAlignment="1" applyProtection="1">
      <alignment horizontal="center" vertical="center" wrapText="1"/>
      <protection hidden="1"/>
    </xf>
    <xf numFmtId="0" fontId="28" fillId="0" borderId="7" xfId="0" applyFont="1" applyFill="1" applyBorder="1" applyAlignment="1" applyProtection="1">
      <alignment horizontal="center" vertical="center" wrapText="1"/>
      <protection hidden="1"/>
    </xf>
    <xf numFmtId="0" fontId="28" fillId="0" borderId="8" xfId="0" applyFont="1" applyFill="1" applyBorder="1" applyAlignment="1" applyProtection="1">
      <alignment horizontal="center" vertical="center" wrapText="1"/>
      <protection hidden="1"/>
    </xf>
    <xf numFmtId="169" fontId="17" fillId="19" borderId="28" xfId="0" applyNumberFormat="1" applyFont="1" applyFill="1" applyBorder="1" applyAlignment="1" applyProtection="1">
      <alignment horizontal="center" vertical="center" wrapText="1"/>
      <protection hidden="1"/>
    </xf>
    <xf numFmtId="169" fontId="17" fillId="19" borderId="21" xfId="0" applyNumberFormat="1" applyFont="1" applyFill="1" applyBorder="1" applyAlignment="1" applyProtection="1">
      <alignment horizontal="center" vertical="center" wrapText="1"/>
      <protection hidden="1"/>
    </xf>
    <xf numFmtId="0" fontId="7" fillId="2" borderId="0" xfId="0" applyFont="1" applyFill="1" applyBorder="1" applyAlignment="1" applyProtection="1">
      <alignment horizontal="center" vertical="center" wrapText="1"/>
      <protection hidden="1"/>
    </xf>
    <xf numFmtId="0" fontId="6" fillId="5" borderId="56" xfId="0" applyFont="1" applyFill="1" applyBorder="1" applyAlignment="1" applyProtection="1">
      <alignment horizontal="center" vertical="top" wrapText="1"/>
      <protection hidden="1"/>
    </xf>
    <xf numFmtId="0" fontId="6" fillId="5" borderId="61" xfId="0" applyFont="1" applyFill="1" applyBorder="1" applyAlignment="1" applyProtection="1">
      <alignment horizontal="center" vertical="top" wrapText="1"/>
      <protection hidden="1"/>
    </xf>
    <xf numFmtId="0" fontId="6" fillId="5" borderId="35" xfId="0" applyFont="1" applyFill="1" applyBorder="1" applyAlignment="1" applyProtection="1">
      <alignment horizontal="center" vertical="top" wrapText="1"/>
      <protection hidden="1"/>
    </xf>
    <xf numFmtId="0" fontId="6" fillId="5" borderId="33" xfId="0" applyFont="1" applyFill="1" applyBorder="1" applyAlignment="1" applyProtection="1">
      <alignment horizontal="center" vertical="top" wrapText="1"/>
      <protection hidden="1"/>
    </xf>
    <xf numFmtId="0" fontId="6" fillId="5" borderId="35" xfId="0" applyFont="1" applyFill="1" applyBorder="1" applyAlignment="1" applyProtection="1">
      <alignment horizontal="center" vertical="top"/>
      <protection hidden="1"/>
    </xf>
    <xf numFmtId="0" fontId="6" fillId="5" borderId="33" xfId="0" applyFont="1" applyFill="1" applyBorder="1" applyAlignment="1" applyProtection="1">
      <alignment horizontal="center" vertical="top"/>
      <protection hidden="1"/>
    </xf>
    <xf numFmtId="0" fontId="10" fillId="5" borderId="67" xfId="0" applyFont="1" applyFill="1" applyBorder="1" applyAlignment="1" applyProtection="1">
      <alignment horizontal="center" vertical="center" wrapText="1"/>
      <protection hidden="1"/>
    </xf>
    <xf numFmtId="0" fontId="10" fillId="5" borderId="15" xfId="0" applyFont="1" applyFill="1" applyBorder="1" applyAlignment="1" applyProtection="1">
      <alignment horizontal="center" vertical="center" wrapText="1"/>
      <protection hidden="1"/>
    </xf>
    <xf numFmtId="0" fontId="10" fillId="5" borderId="18" xfId="0" applyFont="1" applyFill="1" applyBorder="1" applyAlignment="1" applyProtection="1">
      <alignment horizontal="center" vertical="center" wrapText="1"/>
      <protection hidden="1"/>
    </xf>
    <xf numFmtId="0" fontId="10" fillId="5" borderId="73" xfId="0" applyFont="1" applyFill="1" applyBorder="1" applyAlignment="1" applyProtection="1">
      <alignment horizontal="center" vertical="center" wrapText="1"/>
      <protection hidden="1"/>
    </xf>
    <xf numFmtId="0" fontId="10" fillId="5" borderId="65" xfId="0" applyFont="1" applyFill="1" applyBorder="1" applyAlignment="1" applyProtection="1">
      <alignment horizontal="center" vertical="center" wrapText="1"/>
      <protection hidden="1"/>
    </xf>
    <xf numFmtId="0" fontId="10" fillId="5" borderId="36" xfId="0" applyFont="1" applyFill="1" applyBorder="1" applyAlignment="1" applyProtection="1">
      <alignment horizontal="center" vertical="center" wrapText="1"/>
      <protection hidden="1"/>
    </xf>
    <xf numFmtId="0" fontId="6" fillId="5" borderId="47" xfId="0" applyFont="1" applyFill="1" applyBorder="1" applyAlignment="1" applyProtection="1">
      <alignment horizontal="center" vertical="top" wrapText="1"/>
      <protection hidden="1"/>
    </xf>
    <xf numFmtId="0" fontId="6" fillId="5" borderId="38" xfId="0" applyFont="1" applyFill="1" applyBorder="1" applyAlignment="1" applyProtection="1">
      <alignment horizontal="center" vertical="top" wrapText="1"/>
      <protection hidden="1"/>
    </xf>
    <xf numFmtId="0" fontId="32" fillId="4" borderId="6" xfId="0" applyFont="1" applyFill="1" applyBorder="1" applyAlignment="1" applyProtection="1">
      <alignment horizontal="center" vertical="center" wrapText="1"/>
      <protection hidden="1"/>
    </xf>
    <xf numFmtId="0" fontId="32" fillId="4" borderId="7" xfId="0" applyFont="1" applyFill="1" applyBorder="1" applyAlignment="1" applyProtection="1">
      <alignment horizontal="center" vertical="center" wrapText="1"/>
      <protection hidden="1"/>
    </xf>
    <xf numFmtId="0" fontId="32" fillId="4" borderId="8" xfId="0" applyFont="1" applyFill="1" applyBorder="1" applyAlignment="1" applyProtection="1">
      <alignment horizontal="center" vertical="center" wrapText="1"/>
      <protection hidden="1"/>
    </xf>
    <xf numFmtId="0" fontId="6" fillId="5" borderId="3" xfId="0" applyFont="1" applyFill="1" applyBorder="1" applyAlignment="1" applyProtection="1">
      <alignment horizontal="center" vertical="top" wrapText="1"/>
      <protection hidden="1"/>
    </xf>
    <xf numFmtId="0" fontId="6" fillId="5" borderId="4" xfId="0" applyFont="1" applyFill="1" applyBorder="1" applyAlignment="1" applyProtection="1">
      <alignment horizontal="center" vertical="top" wrapText="1"/>
      <protection hidden="1"/>
    </xf>
    <xf numFmtId="0" fontId="6" fillId="5" borderId="13" xfId="0" applyFont="1" applyFill="1" applyBorder="1" applyAlignment="1" applyProtection="1">
      <alignment horizontal="center" vertical="top" wrapText="1"/>
      <protection hidden="1"/>
    </xf>
    <xf numFmtId="0" fontId="6" fillId="5" borderId="63" xfId="0" applyFont="1" applyFill="1" applyBorder="1" applyAlignment="1" applyProtection="1">
      <alignment horizontal="center" vertical="top" wrapText="1"/>
      <protection hidden="1"/>
    </xf>
    <xf numFmtId="166" fontId="7" fillId="13" borderId="62" xfId="0" applyNumberFormat="1" applyFont="1" applyFill="1" applyBorder="1" applyAlignment="1" applyProtection="1">
      <alignment horizontal="center" vertical="center"/>
      <protection hidden="1"/>
    </xf>
    <xf numFmtId="166" fontId="7" fillId="13" borderId="61" xfId="0" applyNumberFormat="1" applyFont="1" applyFill="1" applyBorder="1" applyAlignment="1" applyProtection="1">
      <alignment horizontal="center" vertical="center"/>
      <protection hidden="1"/>
    </xf>
    <xf numFmtId="0" fontId="32" fillId="8" borderId="6" xfId="0" applyFont="1" applyFill="1" applyBorder="1" applyAlignment="1" applyProtection="1">
      <alignment horizontal="center" vertical="center" wrapText="1"/>
      <protection hidden="1"/>
    </xf>
    <xf numFmtId="0" fontId="32" fillId="8" borderId="7" xfId="0" applyFont="1" applyFill="1" applyBorder="1" applyAlignment="1" applyProtection="1">
      <alignment horizontal="center" vertical="center" wrapText="1"/>
      <protection hidden="1"/>
    </xf>
    <xf numFmtId="0" fontId="32" fillId="8" borderId="8" xfId="0" applyFont="1" applyFill="1" applyBorder="1" applyAlignment="1" applyProtection="1">
      <alignment horizontal="center" vertical="center" wrapText="1"/>
      <protection hidden="1"/>
    </xf>
    <xf numFmtId="0" fontId="45" fillId="8" borderId="2" xfId="0" applyFont="1" applyFill="1" applyBorder="1" applyAlignment="1" applyProtection="1">
      <alignment horizontal="center" vertical="center" wrapText="1"/>
      <protection hidden="1"/>
    </xf>
    <xf numFmtId="0" fontId="45" fillId="8" borderId="3" xfId="0" applyFont="1" applyFill="1" applyBorder="1" applyAlignment="1" applyProtection="1">
      <alignment horizontal="center" vertical="center" wrapText="1"/>
      <protection hidden="1"/>
    </xf>
    <xf numFmtId="0" fontId="45" fillId="8" borderId="4" xfId="0" applyFont="1" applyFill="1" applyBorder="1" applyAlignment="1" applyProtection="1">
      <alignment horizontal="center" vertical="center" wrapText="1"/>
      <protection hidden="1"/>
    </xf>
    <xf numFmtId="1" fontId="25" fillId="7" borderId="4" xfId="0" applyNumberFormat="1" applyFont="1" applyFill="1" applyBorder="1" applyAlignment="1" applyProtection="1">
      <alignment horizontal="center" vertical="center" wrapText="1"/>
      <protection hidden="1"/>
    </xf>
    <xf numFmtId="1" fontId="25" fillId="7" borderId="49" xfId="0" applyNumberFormat="1" applyFont="1" applyFill="1" applyBorder="1" applyAlignment="1" applyProtection="1">
      <alignment horizontal="center" vertical="center" wrapText="1"/>
      <protection hidden="1"/>
    </xf>
    <xf numFmtId="1" fontId="25" fillId="7" borderId="38" xfId="0" applyNumberFormat="1" applyFont="1" applyFill="1" applyBorder="1" applyAlignment="1" applyProtection="1">
      <alignment horizontal="center" vertical="center" wrapText="1"/>
      <protection hidden="1"/>
    </xf>
    <xf numFmtId="167" fontId="25" fillId="7" borderId="71" xfId="0" applyNumberFormat="1" applyFont="1" applyFill="1" applyBorder="1" applyAlignment="1" applyProtection="1">
      <alignment horizontal="center" vertical="center" wrapText="1"/>
      <protection hidden="1"/>
    </xf>
    <xf numFmtId="167" fontId="25" fillId="7" borderId="70" xfId="0" applyNumberFormat="1" applyFont="1" applyFill="1" applyBorder="1" applyAlignment="1" applyProtection="1">
      <alignment horizontal="center" vertical="center" wrapText="1"/>
      <protection hidden="1"/>
    </xf>
    <xf numFmtId="167" fontId="25" fillId="7" borderId="50" xfId="0" applyNumberFormat="1" applyFont="1" applyFill="1" applyBorder="1" applyAlignment="1" applyProtection="1">
      <alignment horizontal="center" vertical="center" wrapText="1"/>
      <protection hidden="1"/>
    </xf>
    <xf numFmtId="2" fontId="17" fillId="15" borderId="9" xfId="0" applyNumberFormat="1" applyFont="1" applyFill="1" applyBorder="1" applyAlignment="1" applyProtection="1">
      <alignment horizontal="center" vertical="center" wrapText="1"/>
      <protection hidden="1"/>
    </xf>
    <xf numFmtId="2" fontId="17" fillId="15" borderId="44" xfId="0" applyNumberFormat="1" applyFont="1" applyFill="1" applyBorder="1" applyAlignment="1" applyProtection="1">
      <alignment horizontal="center" vertical="center" wrapText="1"/>
      <protection hidden="1"/>
    </xf>
    <xf numFmtId="0" fontId="10" fillId="5" borderId="72" xfId="0" applyFont="1" applyFill="1" applyBorder="1" applyAlignment="1" applyProtection="1">
      <alignment horizontal="center" vertical="center" wrapText="1"/>
      <protection hidden="1"/>
    </xf>
    <xf numFmtId="0" fontId="10" fillId="5" borderId="51" xfId="0" applyFont="1" applyFill="1" applyBorder="1" applyAlignment="1" applyProtection="1">
      <alignment horizontal="center" vertical="center" wrapText="1"/>
      <protection hidden="1"/>
    </xf>
    <xf numFmtId="0" fontId="32" fillId="25" borderId="2" xfId="0" applyFont="1" applyFill="1" applyBorder="1" applyAlignment="1" applyProtection="1">
      <alignment horizontal="center" vertical="center" wrapText="1"/>
      <protection hidden="1"/>
    </xf>
    <xf numFmtId="0" fontId="32" fillId="25" borderId="3" xfId="0" applyFont="1" applyFill="1" applyBorder="1" applyAlignment="1" applyProtection="1">
      <alignment horizontal="center" vertical="center" wrapText="1"/>
      <protection hidden="1"/>
    </xf>
    <xf numFmtId="0" fontId="32" fillId="25" borderId="4" xfId="0" applyFont="1" applyFill="1" applyBorder="1" applyAlignment="1" applyProtection="1">
      <alignment horizontal="center" vertical="center" wrapText="1"/>
      <protection hidden="1"/>
    </xf>
    <xf numFmtId="0" fontId="10" fillId="5" borderId="58" xfId="1" applyFont="1" applyFill="1" applyBorder="1" applyAlignment="1" applyProtection="1">
      <alignment horizontal="center" vertical="center" wrapText="1"/>
      <protection hidden="1"/>
    </xf>
    <xf numFmtId="0" fontId="10" fillId="5" borderId="48" xfId="1" applyFont="1" applyFill="1" applyBorder="1" applyAlignment="1" applyProtection="1">
      <alignment horizontal="center" vertical="center" wrapText="1"/>
      <protection hidden="1"/>
    </xf>
    <xf numFmtId="0" fontId="10" fillId="5" borderId="31" xfId="1" applyFont="1" applyFill="1" applyBorder="1" applyAlignment="1" applyProtection="1">
      <alignment horizontal="center" vertical="center" wrapText="1"/>
      <protection hidden="1"/>
    </xf>
    <xf numFmtId="0" fontId="10" fillId="5" borderId="54" xfId="1" applyFont="1" applyFill="1" applyBorder="1" applyAlignment="1" applyProtection="1">
      <alignment horizontal="center" vertical="center" wrapText="1"/>
      <protection hidden="1"/>
    </xf>
    <xf numFmtId="1" fontId="17" fillId="15" borderId="32" xfId="0" applyNumberFormat="1" applyFont="1" applyFill="1" applyBorder="1" applyAlignment="1" applyProtection="1">
      <alignment horizontal="center" vertical="center" wrapText="1"/>
      <protection hidden="1"/>
    </xf>
    <xf numFmtId="1" fontId="17" fillId="15" borderId="43" xfId="0" applyNumberFormat="1" applyFont="1" applyFill="1" applyBorder="1" applyAlignment="1" applyProtection="1">
      <alignment horizontal="center" vertical="center" wrapText="1"/>
      <protection hidden="1"/>
    </xf>
    <xf numFmtId="0" fontId="60" fillId="0" borderId="9" xfId="0" applyFont="1" applyBorder="1" applyAlignment="1">
      <alignment horizontal="center"/>
    </xf>
    <xf numFmtId="0" fontId="14" fillId="0" borderId="11" xfId="0" applyFont="1" applyBorder="1" applyAlignment="1">
      <alignment horizontal="center" vertical="center" wrapText="1"/>
    </xf>
    <xf numFmtId="0" fontId="37" fillId="0" borderId="23" xfId="0" applyFont="1" applyBorder="1" applyAlignment="1">
      <alignment horizontal="center" vertical="center" wrapText="1"/>
    </xf>
    <xf numFmtId="0" fontId="37" fillId="0" borderId="14" xfId="0" applyFont="1" applyBorder="1" applyAlignment="1">
      <alignment horizontal="center" vertical="center" wrapText="1"/>
    </xf>
    <xf numFmtId="0" fontId="14" fillId="18" borderId="39" xfId="0" applyFont="1" applyFill="1" applyBorder="1" applyAlignment="1" applyProtection="1">
      <alignment horizontal="center" vertical="center" wrapText="1"/>
      <protection hidden="1"/>
    </xf>
    <xf numFmtId="0" fontId="14" fillId="18" borderId="40" xfId="0" applyFont="1" applyFill="1" applyBorder="1" applyAlignment="1" applyProtection="1">
      <alignment horizontal="center" vertical="center" wrapText="1"/>
      <protection hidden="1"/>
    </xf>
    <xf numFmtId="0" fontId="14" fillId="18" borderId="41" xfId="0" applyFont="1" applyFill="1" applyBorder="1" applyAlignment="1" applyProtection="1">
      <alignment horizontal="center" vertical="center" wrapText="1"/>
      <protection hidden="1"/>
    </xf>
    <xf numFmtId="0" fontId="14" fillId="18" borderId="32" xfId="0" applyFont="1" applyFill="1" applyBorder="1" applyAlignment="1" applyProtection="1">
      <alignment horizontal="center" vertical="center" wrapText="1"/>
      <protection hidden="1"/>
    </xf>
    <xf numFmtId="0" fontId="14" fillId="18" borderId="9" xfId="0" applyFont="1" applyFill="1" applyBorder="1" applyAlignment="1" applyProtection="1">
      <alignment horizontal="center" vertical="center" wrapText="1"/>
      <protection hidden="1"/>
    </xf>
    <xf numFmtId="0" fontId="14" fillId="18" borderId="34" xfId="0" applyFont="1" applyFill="1" applyBorder="1" applyAlignment="1" applyProtection="1">
      <alignment horizontal="center" vertical="center" wrapText="1"/>
      <protection hidden="1"/>
    </xf>
    <xf numFmtId="169" fontId="75" fillId="2" borderId="7" xfId="0" applyNumberFormat="1" applyFont="1" applyFill="1" applyBorder="1" applyAlignment="1">
      <alignment horizontal="center" vertical="center"/>
    </xf>
    <xf numFmtId="169" fontId="75" fillId="2" borderId="8" xfId="0" applyNumberFormat="1" applyFont="1" applyFill="1" applyBorder="1" applyAlignment="1">
      <alignment horizontal="center" vertical="center"/>
    </xf>
    <xf numFmtId="169" fontId="7" fillId="0" borderId="0" xfId="0" applyNumberFormat="1" applyFont="1" applyFill="1" applyBorder="1" applyAlignment="1">
      <alignment horizontal="center" vertical="center"/>
    </xf>
    <xf numFmtId="0" fontId="6" fillId="0" borderId="0" xfId="0" applyFont="1" applyFill="1" applyBorder="1" applyAlignment="1">
      <alignment horizontal="center" vertical="center"/>
    </xf>
    <xf numFmtId="169" fontId="14" fillId="13" borderId="32" xfId="0" applyNumberFormat="1" applyFont="1" applyFill="1" applyBorder="1" applyAlignment="1">
      <alignment horizontal="center" vertical="center" wrapText="1"/>
    </xf>
    <xf numFmtId="169" fontId="14" fillId="13" borderId="43" xfId="0" applyNumberFormat="1" applyFont="1" applyFill="1" applyBorder="1" applyAlignment="1">
      <alignment horizontal="center" vertical="center" wrapText="1"/>
    </xf>
    <xf numFmtId="0" fontId="6" fillId="0" borderId="72" xfId="0" applyFont="1" applyFill="1" applyBorder="1" applyAlignment="1">
      <alignment horizontal="center" vertical="center"/>
    </xf>
    <xf numFmtId="0" fontId="6" fillId="0" borderId="67" xfId="0" applyFont="1" applyFill="1" applyBorder="1" applyAlignment="1">
      <alignment horizontal="center" vertical="center"/>
    </xf>
    <xf numFmtId="0" fontId="6" fillId="0" borderId="73" xfId="0" applyFont="1" applyFill="1" applyBorder="1" applyAlignment="1">
      <alignment horizontal="center" vertical="center"/>
    </xf>
    <xf numFmtId="0" fontId="7" fillId="0" borderId="9" xfId="0" applyFont="1" applyBorder="1" applyAlignment="1">
      <alignment horizontal="center" vertical="center" wrapText="1"/>
    </xf>
    <xf numFmtId="0" fontId="13" fillId="8" borderId="2" xfId="0" applyFont="1" applyFill="1" applyBorder="1" applyAlignment="1">
      <alignment horizontal="center" vertical="center"/>
    </xf>
    <xf numFmtId="0" fontId="13" fillId="8" borderId="3" xfId="0" applyFont="1" applyFill="1" applyBorder="1" applyAlignment="1">
      <alignment horizontal="center" vertical="center"/>
    </xf>
    <xf numFmtId="0" fontId="13" fillId="8" borderId="47" xfId="0" applyFont="1" applyFill="1" applyBorder="1" applyAlignment="1">
      <alignment horizontal="center" vertical="center"/>
    </xf>
    <xf numFmtId="0" fontId="13" fillId="8" borderId="5" xfId="0" applyFont="1" applyFill="1" applyBorder="1" applyAlignment="1">
      <alignment horizontal="center" vertical="center"/>
    </xf>
    <xf numFmtId="0" fontId="37" fillId="0" borderId="0" xfId="0" applyFont="1" applyAlignment="1" applyProtection="1">
      <alignment horizontal="right"/>
      <protection hidden="1"/>
    </xf>
    <xf numFmtId="0" fontId="37" fillId="0" borderId="0" xfId="0" applyFont="1" applyFill="1" applyAlignment="1" applyProtection="1">
      <alignment horizontal="right"/>
      <protection hidden="1"/>
    </xf>
    <xf numFmtId="0" fontId="14" fillId="0" borderId="0" xfId="0" applyFont="1" applyAlignment="1" applyProtection="1">
      <alignment horizontal="center" vertical="center" wrapText="1"/>
      <protection hidden="1"/>
    </xf>
    <xf numFmtId="0" fontId="37" fillId="0" borderId="81" xfId="0" applyFont="1" applyBorder="1" applyAlignment="1" applyProtection="1">
      <alignment horizontal="center"/>
      <protection hidden="1"/>
    </xf>
    <xf numFmtId="0" fontId="37" fillId="0" borderId="0" xfId="0" applyFont="1" applyAlignment="1" applyProtection="1">
      <alignment horizontal="center" vertical="center"/>
      <protection hidden="1"/>
    </xf>
    <xf numFmtId="0" fontId="37" fillId="0" borderId="0" xfId="0" applyFont="1" applyFill="1" applyAlignment="1" applyProtection="1">
      <alignment horizontal="center"/>
      <protection hidden="1"/>
    </xf>
    <xf numFmtId="0" fontId="14" fillId="0" borderId="0" xfId="0" applyFont="1" applyAlignment="1" applyProtection="1">
      <alignment horizontal="center"/>
      <protection hidden="1"/>
    </xf>
    <xf numFmtId="0" fontId="39" fillId="2" borderId="0" xfId="0" applyFont="1" applyFill="1" applyBorder="1" applyAlignment="1" applyProtection="1">
      <alignment horizontal="justify" vertical="center" wrapText="1"/>
      <protection hidden="1"/>
    </xf>
    <xf numFmtId="0" fontId="37" fillId="0" borderId="13" xfId="0" applyFont="1" applyBorder="1" applyAlignment="1" applyProtection="1">
      <alignment horizontal="center"/>
      <protection hidden="1"/>
    </xf>
    <xf numFmtId="0" fontId="13" fillId="0" borderId="0" xfId="0" applyFont="1" applyFill="1" applyBorder="1" applyAlignment="1" applyProtection="1">
      <alignment horizontal="center" vertical="center" wrapText="1"/>
      <protection hidden="1"/>
    </xf>
    <xf numFmtId="0" fontId="14" fillId="0" borderId="0" xfId="0" applyFont="1" applyFill="1" applyBorder="1" applyAlignment="1" applyProtection="1">
      <alignment horizontal="left" vertical="center" wrapText="1"/>
      <protection hidden="1"/>
    </xf>
    <xf numFmtId="0" fontId="39" fillId="2" borderId="0" xfId="0" applyFont="1" applyFill="1" applyAlignment="1" applyProtection="1">
      <alignment horizontal="justify" vertical="justify" wrapText="1"/>
      <protection hidden="1"/>
    </xf>
    <xf numFmtId="1" fontId="63" fillId="2" borderId="0" xfId="0" applyNumberFormat="1" applyFont="1" applyFill="1" applyAlignment="1" applyProtection="1">
      <alignment horizontal="left" vertical="center" wrapText="1"/>
      <protection hidden="1"/>
    </xf>
    <xf numFmtId="0" fontId="63" fillId="2" borderId="0" xfId="0" applyFont="1" applyFill="1" applyAlignment="1" applyProtection="1">
      <alignment horizontal="left" vertical="center" wrapText="1"/>
      <protection hidden="1"/>
    </xf>
    <xf numFmtId="0" fontId="14" fillId="0" borderId="0" xfId="0" applyFont="1" applyFill="1" applyAlignment="1" applyProtection="1">
      <alignment horizontal="left" vertical="center" wrapText="1"/>
      <protection hidden="1"/>
    </xf>
    <xf numFmtId="0" fontId="14" fillId="0" borderId="0" xfId="0" applyFont="1" applyAlignment="1" applyProtection="1">
      <alignment horizontal="left" vertical="center" wrapText="1"/>
      <protection hidden="1"/>
    </xf>
    <xf numFmtId="0" fontId="37" fillId="0" borderId="0" xfId="0" applyFont="1" applyBorder="1" applyAlignment="1" applyProtection="1">
      <alignment horizontal="left" vertical="center" wrapText="1"/>
      <protection hidden="1"/>
    </xf>
    <xf numFmtId="0" fontId="49" fillId="0" borderId="0" xfId="0" applyFont="1" applyFill="1" applyBorder="1" applyAlignment="1" applyProtection="1">
      <alignment horizontal="center" wrapText="1"/>
      <protection hidden="1"/>
    </xf>
    <xf numFmtId="0" fontId="16" fillId="0" borderId="6" xfId="0" applyFont="1" applyFill="1" applyBorder="1" applyAlignment="1" applyProtection="1">
      <alignment horizontal="center" vertical="center" wrapText="1"/>
      <protection hidden="1"/>
    </xf>
    <xf numFmtId="0" fontId="16" fillId="0" borderId="7" xfId="0" applyFont="1" applyFill="1" applyBorder="1" applyAlignment="1" applyProtection="1">
      <alignment horizontal="center" vertical="center" wrapText="1"/>
      <protection hidden="1"/>
    </xf>
    <xf numFmtId="184" fontId="24" fillId="0" borderId="2" xfId="0" applyNumberFormat="1" applyFont="1" applyFill="1" applyBorder="1" applyAlignment="1" applyProtection="1">
      <alignment horizontal="center" vertical="center" wrapText="1"/>
      <protection hidden="1"/>
    </xf>
    <xf numFmtId="184" fontId="24" fillId="0" borderId="4" xfId="0" applyNumberFormat="1" applyFont="1" applyFill="1" applyBorder="1" applyAlignment="1" applyProtection="1">
      <alignment horizontal="center" vertical="center" wrapText="1"/>
      <protection hidden="1"/>
    </xf>
    <xf numFmtId="184" fontId="24" fillId="0" borderId="10" xfId="0" applyNumberFormat="1" applyFont="1" applyFill="1" applyBorder="1" applyAlignment="1" applyProtection="1">
      <alignment horizontal="center" vertical="center" wrapText="1"/>
      <protection hidden="1"/>
    </xf>
    <xf numFmtId="184" fontId="24" fillId="0" borderId="49" xfId="0" applyNumberFormat="1" applyFont="1" applyFill="1" applyBorder="1" applyAlignment="1" applyProtection="1">
      <alignment horizontal="center" vertical="center" wrapText="1"/>
      <protection hidden="1"/>
    </xf>
    <xf numFmtId="184" fontId="24" fillId="0" borderId="47" xfId="0" applyNumberFormat="1" applyFont="1" applyFill="1" applyBorder="1" applyAlignment="1" applyProtection="1">
      <alignment horizontal="center" vertical="center" wrapText="1"/>
      <protection hidden="1"/>
    </xf>
    <xf numFmtId="184" fontId="24" fillId="0" borderId="38" xfId="0" applyNumberFormat="1" applyFont="1" applyFill="1" applyBorder="1" applyAlignment="1" applyProtection="1">
      <alignment horizontal="center" vertical="center" wrapText="1"/>
      <protection hidden="1"/>
    </xf>
    <xf numFmtId="177" fontId="76" fillId="0" borderId="3" xfId="0" applyNumberFormat="1" applyFont="1" applyFill="1" applyBorder="1" applyAlignment="1" applyProtection="1">
      <alignment horizontal="center" vertical="center" wrapText="1"/>
      <protection hidden="1"/>
    </xf>
    <xf numFmtId="0" fontId="70" fillId="0" borderId="71" xfId="0" applyFont="1" applyFill="1" applyBorder="1" applyAlignment="1" applyProtection="1">
      <alignment horizontal="center" vertical="center"/>
      <protection hidden="1"/>
    </xf>
    <xf numFmtId="0" fontId="70" fillId="0" borderId="70" xfId="0" applyFont="1" applyFill="1" applyBorder="1" applyAlignment="1" applyProtection="1">
      <alignment horizontal="center" vertical="center"/>
      <protection hidden="1"/>
    </xf>
    <xf numFmtId="0" fontId="70" fillId="0" borderId="50" xfId="0" applyFont="1" applyFill="1" applyBorder="1" applyAlignment="1" applyProtection="1">
      <alignment horizontal="center" vertical="center"/>
      <protection hidden="1"/>
    </xf>
    <xf numFmtId="166" fontId="76" fillId="0" borderId="8" xfId="0" applyNumberFormat="1" applyFont="1" applyFill="1" applyBorder="1" applyAlignment="1" applyProtection="1">
      <alignment horizontal="center" vertical="center" wrapText="1"/>
      <protection hidden="1"/>
    </xf>
    <xf numFmtId="166" fontId="76" fillId="0" borderId="1" xfId="0" applyNumberFormat="1" applyFont="1" applyFill="1" applyBorder="1" applyAlignment="1" applyProtection="1">
      <alignment horizontal="center" vertical="center" wrapText="1"/>
      <protection hidden="1"/>
    </xf>
    <xf numFmtId="0" fontId="16" fillId="0" borderId="8" xfId="0" applyFont="1" applyFill="1" applyBorder="1" applyAlignment="1" applyProtection="1">
      <alignment horizontal="center" vertical="center" wrapText="1"/>
      <protection hidden="1"/>
    </xf>
    <xf numFmtId="190" fontId="76" fillId="0" borderId="3" xfId="0" applyNumberFormat="1" applyFont="1" applyFill="1" applyBorder="1" applyAlignment="1" applyProtection="1">
      <alignment horizontal="center" vertical="center" wrapText="1"/>
      <protection hidden="1"/>
    </xf>
    <xf numFmtId="0" fontId="70" fillId="0" borderId="71" xfId="0" applyFont="1" applyFill="1" applyBorder="1" applyAlignment="1" applyProtection="1">
      <alignment horizontal="center" vertical="center" wrapText="1"/>
      <protection hidden="1"/>
    </xf>
    <xf numFmtId="0" fontId="70" fillId="0" borderId="70" xfId="0" applyFont="1" applyFill="1" applyBorder="1" applyAlignment="1" applyProtection="1">
      <alignment horizontal="center" vertical="center" wrapText="1"/>
      <protection hidden="1"/>
    </xf>
    <xf numFmtId="0" fontId="70" fillId="0" borderId="50" xfId="0" applyFont="1" applyFill="1" applyBorder="1" applyAlignment="1" applyProtection="1">
      <alignment horizontal="center" vertical="center" wrapText="1"/>
      <protection hidden="1"/>
    </xf>
    <xf numFmtId="165" fontId="76" fillId="0" borderId="8" xfId="0" applyNumberFormat="1" applyFont="1" applyFill="1" applyBorder="1" applyAlignment="1" applyProtection="1">
      <alignment horizontal="center" vertical="center" wrapText="1"/>
      <protection hidden="1"/>
    </xf>
    <xf numFmtId="165" fontId="76" fillId="0" borderId="1" xfId="0" applyNumberFormat="1" applyFont="1" applyFill="1" applyBorder="1" applyAlignment="1" applyProtection="1">
      <alignment horizontal="center" vertical="center" wrapText="1"/>
      <protection hidden="1"/>
    </xf>
    <xf numFmtId="0" fontId="76" fillId="0" borderId="43" xfId="0" applyFont="1" applyBorder="1" applyAlignment="1" applyProtection="1">
      <alignment horizontal="left" vertical="center" wrapText="1"/>
      <protection hidden="1"/>
    </xf>
    <xf numFmtId="0" fontId="76" fillId="0" borderId="44" xfId="0" applyFont="1" applyBorder="1" applyAlignment="1" applyProtection="1">
      <alignment horizontal="left" vertical="center" wrapText="1"/>
      <protection hidden="1"/>
    </xf>
    <xf numFmtId="0" fontId="76" fillId="0" borderId="55" xfId="0" applyFont="1" applyFill="1" applyBorder="1" applyAlignment="1" applyProtection="1">
      <alignment horizontal="center" vertical="center" wrapText="1"/>
      <protection hidden="1"/>
    </xf>
    <xf numFmtId="0" fontId="76" fillId="0" borderId="57" xfId="0" applyFont="1" applyFill="1" applyBorder="1" applyAlignment="1" applyProtection="1">
      <alignment horizontal="center" vertical="center" wrapText="1"/>
      <protection hidden="1"/>
    </xf>
    <xf numFmtId="1" fontId="76" fillId="0" borderId="55" xfId="0" applyNumberFormat="1" applyFont="1" applyFill="1" applyBorder="1" applyAlignment="1" applyProtection="1">
      <alignment horizontal="center" vertical="center" wrapText="1"/>
      <protection hidden="1"/>
    </xf>
    <xf numFmtId="1" fontId="76" fillId="0" borderId="57" xfId="0" applyNumberFormat="1" applyFont="1" applyFill="1" applyBorder="1" applyAlignment="1" applyProtection="1">
      <alignment horizontal="center" vertical="center" wrapText="1"/>
      <protection hidden="1"/>
    </xf>
    <xf numFmtId="0" fontId="76" fillId="0" borderId="44" xfId="0" applyFont="1" applyFill="1" applyBorder="1" applyAlignment="1" applyProtection="1">
      <alignment horizontal="center" vertical="center" wrapText="1"/>
      <protection hidden="1"/>
    </xf>
    <xf numFmtId="0" fontId="76" fillId="0" borderId="37" xfId="0" applyFont="1" applyFill="1" applyBorder="1" applyAlignment="1" applyProtection="1">
      <alignment horizontal="center" vertical="center" wrapText="1"/>
      <protection hidden="1"/>
    </xf>
    <xf numFmtId="0" fontId="14" fillId="0" borderId="0" xfId="0" applyFont="1" applyFill="1" applyAlignment="1" applyProtection="1">
      <alignment horizontal="left" vertical="center"/>
      <protection hidden="1"/>
    </xf>
    <xf numFmtId="0" fontId="24" fillId="0" borderId="5" xfId="0" applyFont="1" applyBorder="1" applyAlignment="1" applyProtection="1">
      <alignment horizontal="left" vertical="center" wrapText="1"/>
      <protection hidden="1"/>
    </xf>
    <xf numFmtId="0" fontId="76" fillId="0" borderId="32" xfId="0" applyFont="1" applyBorder="1" applyAlignment="1" applyProtection="1">
      <alignment horizontal="left" vertical="center" wrapText="1"/>
      <protection hidden="1"/>
    </xf>
    <xf numFmtId="0" fontId="76" fillId="0" borderId="9" xfId="0" applyFont="1" applyBorder="1" applyAlignment="1" applyProtection="1">
      <alignment horizontal="left" vertical="center" wrapText="1"/>
      <protection hidden="1"/>
    </xf>
    <xf numFmtId="0" fontId="76" fillId="0" borderId="11" xfId="0" applyFont="1" applyFill="1" applyBorder="1" applyAlignment="1" applyProtection="1">
      <alignment horizontal="center" vertical="center" wrapText="1"/>
      <protection hidden="1"/>
    </xf>
    <xf numFmtId="0" fontId="76" fillId="0" borderId="14" xfId="0" applyFont="1" applyFill="1" applyBorder="1" applyAlignment="1" applyProtection="1">
      <alignment horizontal="center" vertical="center" wrapText="1"/>
      <protection hidden="1"/>
    </xf>
    <xf numFmtId="1" fontId="76" fillId="0" borderId="9" xfId="0" applyNumberFormat="1" applyFont="1" applyBorder="1" applyAlignment="1" applyProtection="1">
      <alignment horizontal="center" vertical="center" wrapText="1"/>
      <protection hidden="1"/>
    </xf>
    <xf numFmtId="0" fontId="76" fillId="0" borderId="9" xfId="0" applyFont="1" applyBorder="1" applyAlignment="1" applyProtection="1">
      <alignment horizontal="center" vertical="center" wrapText="1"/>
      <protection hidden="1"/>
    </xf>
    <xf numFmtId="0" fontId="76" fillId="0" borderId="34" xfId="0" applyFont="1" applyBorder="1" applyAlignment="1" applyProtection="1">
      <alignment horizontal="center" vertical="center" wrapText="1"/>
      <protection hidden="1"/>
    </xf>
    <xf numFmtId="0" fontId="39" fillId="0" borderId="0" xfId="0" applyFont="1" applyAlignment="1" applyProtection="1">
      <alignment horizontal="justify" vertical="center" wrapText="1"/>
      <protection locked="0" hidden="1"/>
    </xf>
    <xf numFmtId="0" fontId="16" fillId="0" borderId="6" xfId="0" applyFont="1" applyBorder="1" applyAlignment="1" applyProtection="1">
      <alignment horizontal="center" vertical="center" wrapText="1"/>
      <protection hidden="1"/>
    </xf>
    <xf numFmtId="0" fontId="16" fillId="0" borderId="7" xfId="0" applyFont="1" applyBorder="1" applyAlignment="1" applyProtection="1">
      <alignment horizontal="center" vertical="center" wrapText="1"/>
      <protection hidden="1"/>
    </xf>
    <xf numFmtId="0" fontId="16" fillId="0" borderId="8" xfId="0" applyFont="1" applyBorder="1" applyAlignment="1" applyProtection="1">
      <alignment horizontal="center" vertical="center" wrapText="1"/>
      <protection hidden="1"/>
    </xf>
    <xf numFmtId="0" fontId="76" fillId="0" borderId="39" xfId="0" applyFont="1" applyBorder="1" applyAlignment="1" applyProtection="1">
      <alignment horizontal="left" vertical="center" wrapText="1"/>
      <protection hidden="1"/>
    </xf>
    <xf numFmtId="0" fontId="76" fillId="0" borderId="40" xfId="0" applyFont="1" applyBorder="1" applyAlignment="1" applyProtection="1">
      <alignment horizontal="left" vertical="center" wrapText="1"/>
      <protection hidden="1"/>
    </xf>
    <xf numFmtId="0" fontId="76" fillId="0" borderId="31" xfId="0" applyFont="1" applyFill="1" applyBorder="1" applyAlignment="1" applyProtection="1">
      <alignment horizontal="center" vertical="center" wrapText="1"/>
      <protection hidden="1"/>
    </xf>
    <xf numFmtId="0" fontId="76" fillId="0" borderId="48" xfId="0" applyFont="1" applyFill="1" applyBorder="1" applyAlignment="1" applyProtection="1">
      <alignment horizontal="center" vertical="center" wrapText="1"/>
      <protection hidden="1"/>
    </xf>
    <xf numFmtId="14" fontId="76" fillId="0" borderId="40" xfId="0" applyNumberFormat="1" applyFont="1" applyBorder="1" applyAlignment="1" applyProtection="1">
      <alignment horizontal="center" vertical="center" wrapText="1"/>
      <protection hidden="1"/>
    </xf>
    <xf numFmtId="0" fontId="76" fillId="0" borderId="40" xfId="0" applyFont="1" applyBorder="1" applyAlignment="1" applyProtection="1">
      <alignment horizontal="center" vertical="center" wrapText="1"/>
      <protection hidden="1"/>
    </xf>
    <xf numFmtId="0" fontId="76" fillId="0" borderId="41" xfId="0" applyFont="1" applyBorder="1" applyAlignment="1" applyProtection="1">
      <alignment horizontal="center" vertical="center" wrapText="1"/>
      <protection hidden="1"/>
    </xf>
    <xf numFmtId="0" fontId="14" fillId="0" borderId="0" xfId="0" applyFont="1" applyFill="1" applyBorder="1" applyAlignment="1" applyProtection="1">
      <alignment horizontal="center" vertical="center" wrapText="1"/>
      <protection hidden="1"/>
    </xf>
    <xf numFmtId="172" fontId="37" fillId="0" borderId="0" xfId="0" applyNumberFormat="1" applyFont="1" applyFill="1" applyBorder="1" applyAlignment="1" applyProtection="1">
      <alignment horizontal="center" vertical="center" wrapText="1"/>
      <protection hidden="1"/>
    </xf>
    <xf numFmtId="1" fontId="14" fillId="0" borderId="0" xfId="0" applyNumberFormat="1" applyFont="1" applyAlignment="1" applyProtection="1">
      <alignment horizontal="left" vertical="center" wrapText="1"/>
      <protection hidden="1"/>
    </xf>
    <xf numFmtId="0" fontId="37" fillId="0" borderId="0" xfId="0" applyFont="1" applyFill="1" applyAlignment="1" applyProtection="1">
      <alignment horizontal="justify" vertical="center" wrapText="1"/>
      <protection hidden="1"/>
    </xf>
    <xf numFmtId="0" fontId="37" fillId="0" borderId="0" xfId="0" applyFont="1" applyAlignment="1" applyProtection="1">
      <alignment horizontal="justify" vertical="center" wrapText="1"/>
      <protection hidden="1"/>
    </xf>
    <xf numFmtId="0" fontId="37" fillId="0" borderId="0" xfId="0" applyFont="1" applyFill="1" applyAlignment="1" applyProtection="1">
      <alignment horizontal="left" vertical="justify" wrapText="1"/>
      <protection hidden="1"/>
    </xf>
    <xf numFmtId="0" fontId="37" fillId="0" borderId="0" xfId="0" applyFont="1" applyFill="1" applyAlignment="1" applyProtection="1">
      <alignment horizontal="left" vertical="center" wrapText="1"/>
      <protection hidden="1"/>
    </xf>
    <xf numFmtId="0" fontId="39" fillId="0" borderId="0" xfId="0" applyFont="1" applyFill="1" applyAlignment="1" applyProtection="1">
      <alignment horizontal="justify" vertical="justify" wrapText="1"/>
      <protection locked="0" hidden="1"/>
    </xf>
    <xf numFmtId="0" fontId="65" fillId="0" borderId="0" xfId="0" applyFont="1" applyAlignment="1" applyProtection="1">
      <alignment horizontal="center" vertical="center"/>
      <protection hidden="1"/>
    </xf>
    <xf numFmtId="0" fontId="14" fillId="0" borderId="0" xfId="0" applyFont="1" applyBorder="1" applyAlignment="1" applyProtection="1">
      <alignment horizontal="left" vertical="center" wrapText="1"/>
      <protection hidden="1"/>
    </xf>
    <xf numFmtId="14" fontId="39" fillId="0" borderId="0" xfId="0" applyNumberFormat="1" applyFont="1" applyBorder="1" applyAlignment="1" applyProtection="1">
      <alignment horizontal="left" vertical="center" wrapText="1"/>
      <protection hidden="1"/>
    </xf>
    <xf numFmtId="14" fontId="37" fillId="0" borderId="0" xfId="0" applyNumberFormat="1" applyFont="1" applyBorder="1" applyAlignment="1" applyProtection="1">
      <alignment horizontal="left" vertical="center" wrapText="1"/>
      <protection hidden="1"/>
    </xf>
    <xf numFmtId="0" fontId="37" fillId="0" borderId="0" xfId="0" applyFont="1" applyFill="1" applyBorder="1" applyAlignment="1" applyProtection="1">
      <alignment horizontal="left" vertical="center" wrapText="1"/>
      <protection hidden="1"/>
    </xf>
    <xf numFmtId="0" fontId="39" fillId="0" borderId="0" xfId="0" applyFont="1" applyAlignment="1" applyProtection="1">
      <alignment horizontal="left" vertical="center" wrapText="1"/>
      <protection locked="0" hidden="1"/>
    </xf>
    <xf numFmtId="14" fontId="64" fillId="0" borderId="0" xfId="0" applyNumberFormat="1" applyFont="1" applyBorder="1" applyAlignment="1" applyProtection="1">
      <alignment horizontal="left" vertical="center" wrapText="1"/>
      <protection hidden="1"/>
    </xf>
    <xf numFmtId="0" fontId="64" fillId="0" borderId="0" xfId="0" applyFont="1" applyBorder="1" applyAlignment="1" applyProtection="1">
      <alignment horizontal="left" vertical="center" wrapText="1"/>
      <protection hidden="1"/>
    </xf>
    <xf numFmtId="0" fontId="62" fillId="0" borderId="0" xfId="0" applyFont="1" applyBorder="1" applyAlignment="1" applyProtection="1">
      <alignment horizontal="left" vertical="center" wrapText="1"/>
      <protection hidden="1"/>
    </xf>
    <xf numFmtId="0" fontId="62" fillId="0" borderId="0" xfId="0" applyFont="1" applyAlignment="1" applyProtection="1">
      <alignment horizontal="left" vertical="center" wrapText="1"/>
      <protection hidden="1"/>
    </xf>
    <xf numFmtId="0" fontId="39" fillId="0" borderId="0" xfId="0" applyFont="1" applyAlignment="1" applyProtection="1">
      <alignment horizontal="left" vertical="center" wrapText="1"/>
      <protection hidden="1"/>
    </xf>
    <xf numFmtId="169" fontId="39" fillId="0" borderId="0" xfId="0" applyNumberFormat="1" applyFont="1" applyAlignment="1" applyProtection="1">
      <alignment horizontal="left" vertical="center" wrapText="1"/>
      <protection hidden="1"/>
    </xf>
    <xf numFmtId="0" fontId="37" fillId="2" borderId="0" xfId="0" applyFont="1" applyFill="1" applyBorder="1" applyAlignment="1" applyProtection="1">
      <alignment horizontal="left" vertical="center" wrapText="1"/>
      <protection hidden="1"/>
    </xf>
    <xf numFmtId="0" fontId="37" fillId="0" borderId="0" xfId="0" applyFont="1" applyAlignment="1" applyProtection="1">
      <alignment horizontal="left" vertical="center" wrapText="1"/>
      <protection hidden="1"/>
    </xf>
    <xf numFmtId="169" fontId="37" fillId="0" borderId="0" xfId="0" applyNumberFormat="1" applyFont="1" applyBorder="1" applyAlignment="1" applyProtection="1">
      <alignment horizontal="left" vertical="center" wrapText="1"/>
      <protection hidden="1"/>
    </xf>
    <xf numFmtId="0" fontId="37" fillId="0" borderId="0" xfId="0" applyFont="1" applyBorder="1" applyAlignment="1" applyProtection="1">
      <alignment horizontal="right" vertical="center" wrapText="1"/>
      <protection hidden="1"/>
    </xf>
    <xf numFmtId="0" fontId="62" fillId="0" borderId="0" xfId="0" applyFont="1" applyAlignment="1" applyProtection="1">
      <alignment horizontal="center"/>
      <protection hidden="1"/>
    </xf>
    <xf numFmtId="0" fontId="37" fillId="0" borderId="0" xfId="0" applyFont="1" applyAlignment="1" applyProtection="1">
      <alignment horizontal="center"/>
      <protection hidden="1"/>
    </xf>
    <xf numFmtId="0" fontId="14" fillId="0" borderId="0" xfId="0" applyFont="1" applyAlignment="1" applyProtection="1">
      <alignment horizontal="right" vertical="center" wrapText="1"/>
      <protection hidden="1"/>
    </xf>
    <xf numFmtId="0" fontId="37" fillId="0" borderId="0" xfId="0" applyFont="1" applyFill="1" applyAlignment="1" applyProtection="1">
      <alignment horizontal="right" vertical="center" wrapText="1"/>
      <protection hidden="1"/>
    </xf>
    <xf numFmtId="0" fontId="37" fillId="0" borderId="0" xfId="0" applyFont="1" applyAlignment="1" applyProtection="1">
      <alignment horizontal="right" vertical="center" wrapText="1"/>
      <protection hidden="1"/>
    </xf>
    <xf numFmtId="0" fontId="39" fillId="2" borderId="0" xfId="0" applyFont="1" applyFill="1" applyBorder="1" applyAlignment="1" applyProtection="1">
      <alignment horizontal="left" vertical="center" wrapText="1"/>
      <protection hidden="1"/>
    </xf>
    <xf numFmtId="0" fontId="37" fillId="0" borderId="0" xfId="0" applyFont="1" applyFill="1" applyAlignment="1" applyProtection="1">
      <alignment horizontal="justify" vertical="justify" wrapText="1"/>
      <protection locked="0" hidden="1"/>
    </xf>
    <xf numFmtId="0" fontId="39" fillId="0" borderId="0" xfId="0" applyFont="1" applyFill="1" applyAlignment="1" applyProtection="1">
      <alignment horizontal="left" vertical="center" wrapText="1"/>
      <protection locked="0" hidden="1"/>
    </xf>
    <xf numFmtId="0" fontId="39" fillId="0" borderId="0" xfId="0" applyFont="1" applyFill="1" applyAlignment="1" applyProtection="1">
      <alignment horizontal="left" vertical="center" wrapText="1"/>
      <protection hidden="1"/>
    </xf>
    <xf numFmtId="169" fontId="39" fillId="0" borderId="0" xfId="0" applyNumberFormat="1" applyFont="1" applyFill="1" applyAlignment="1" applyProtection="1">
      <alignment horizontal="left" vertical="center" wrapText="1"/>
      <protection hidden="1"/>
    </xf>
  </cellXfs>
  <cellStyles count="12">
    <cellStyle name="Buena 2" xfId="8" xr:uid="{00000000-0005-0000-0000-000001000000}"/>
    <cellStyle name="Bueno" xfId="1" builtinId="26"/>
    <cellStyle name="Estilo 1" xfId="2" xr:uid="{00000000-0005-0000-0000-000002000000}"/>
    <cellStyle name="Estilo 1 2" xfId="9" xr:uid="{00000000-0005-0000-0000-000003000000}"/>
    <cellStyle name="Estilo 2" xfId="3" xr:uid="{00000000-0005-0000-0000-000004000000}"/>
    <cellStyle name="Estilo 2 2" xfId="10" xr:uid="{00000000-0005-0000-0000-000005000000}"/>
    <cellStyle name="Estilo 3" xfId="4" xr:uid="{00000000-0005-0000-0000-000006000000}"/>
    <cellStyle name="Estilo 4" xfId="5" xr:uid="{00000000-0005-0000-0000-000007000000}"/>
    <cellStyle name="Estilo 5" xfId="6" xr:uid="{00000000-0005-0000-0000-000008000000}"/>
    <cellStyle name="Estilo 6" xfId="7" xr:uid="{00000000-0005-0000-0000-000009000000}"/>
    <cellStyle name="Normal" xfId="0" builtinId="0"/>
    <cellStyle name="Porcentaje" xfId="11" builtinId="5"/>
  </cellStyles>
  <dxfs count="12">
    <dxf>
      <font>
        <b/>
        <i val="0"/>
        <color auto="1"/>
      </font>
      <fill>
        <patternFill>
          <bgColor rgb="FFFFC7CE"/>
        </patternFill>
      </fill>
    </dxf>
    <dxf>
      <font>
        <b/>
        <i val="0"/>
      </font>
    </dxf>
    <dxf>
      <font>
        <b/>
        <i val="0"/>
        <color auto="1"/>
      </font>
      <fill>
        <patternFill>
          <bgColor rgb="FFFFC7CE"/>
        </patternFill>
      </fill>
    </dxf>
    <dxf>
      <font>
        <b/>
        <i val="0"/>
      </font>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s>
  <tableStyles count="1" defaultTableStyle="TableStyleMedium2" defaultPivotStyle="PivotStyleLight16">
    <tableStyle name="Invisible" pivot="0" table="0" count="0" xr9:uid="{00000000-0011-0000-FFFF-FFFF00000000}"/>
  </tableStyles>
  <colors>
    <mruColors>
      <color rgb="FFFF0000"/>
      <color rgb="FF0070C0"/>
      <color rgb="FFC8E2FB"/>
      <color rgb="FF81B0E4"/>
      <color rgb="FFFF9999"/>
      <color rgb="FF9BC2E6"/>
      <color rgb="FFDDEBF7"/>
      <color rgb="FF538DD5"/>
      <color rgb="FF91C6F7"/>
      <color rgb="FFAFDF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%'!$F$56:$F$58</c:f>
              <c:numCache>
                <c:formatCode>General</c:formatCode>
                <c:ptCount val="3"/>
                <c:pt idx="0">
                  <c:v>15.3</c:v>
                </c:pt>
                <c:pt idx="1">
                  <c:v>24.7</c:v>
                </c:pt>
                <c:pt idx="2" formatCode="0.0">
                  <c:v>29.5</c:v>
                </c:pt>
              </c:numCache>
            </c:numRef>
          </c:xVal>
          <c:yVal>
            <c:numRef>
              <c:f>'DATOS %'!$H$56:$H$58</c:f>
              <c:numCache>
                <c:formatCode>0.0</c:formatCode>
                <c:ptCount val="3"/>
                <c:pt idx="0">
                  <c:v>0</c:v>
                </c:pt>
                <c:pt idx="1">
                  <c:v>0</c:v>
                </c:pt>
                <c:pt idx="2">
                  <c:v>-0.1</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33088000"/>
        <c:axId val="133089536"/>
      </c:scatterChart>
      <c:valAx>
        <c:axId val="13308800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33089536"/>
        <c:crosses val="autoZero"/>
        <c:crossBetween val="midCat"/>
      </c:valAx>
      <c:valAx>
        <c:axId val="13308953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3308800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%'!$A$89</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%'!$F$89:$F$91</c:f>
              <c:numCache>
                <c:formatCode>General</c:formatCode>
                <c:ptCount val="3"/>
                <c:pt idx="0">
                  <c:v>15.2</c:v>
                </c:pt>
                <c:pt idx="1">
                  <c:v>24.8</c:v>
                </c:pt>
                <c:pt idx="2" formatCode="0.0">
                  <c:v>29.8</c:v>
                </c:pt>
              </c:numCache>
            </c:numRef>
          </c:xVal>
          <c:yVal>
            <c:numRef>
              <c:f>'DATOS %'!$H$89:$H$91</c:f>
              <c:numCache>
                <c:formatCode>0.0</c:formatCode>
                <c:ptCount val="3"/>
                <c:pt idx="0">
                  <c:v>0</c:v>
                </c:pt>
                <c:pt idx="1">
                  <c:v>0</c:v>
                </c:pt>
                <c:pt idx="2">
                  <c:v>-0.1</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85869824"/>
        <c:axId val="185871360"/>
      </c:scatterChart>
      <c:valAx>
        <c:axId val="18586982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871360"/>
        <c:crosses val="autoZero"/>
        <c:crossBetween val="midCat"/>
      </c:valAx>
      <c:valAx>
        <c:axId val="18587136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86982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%'!$A$92</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%'!$F$92:$F$94</c:f>
              <c:numCache>
                <c:formatCode>General</c:formatCode>
                <c:ptCount val="3"/>
                <c:pt idx="0">
                  <c:v>32.9</c:v>
                </c:pt>
                <c:pt idx="1">
                  <c:v>51.2</c:v>
                </c:pt>
                <c:pt idx="2">
                  <c:v>77.599999999999994</c:v>
                </c:pt>
              </c:numCache>
            </c:numRef>
          </c:xVal>
          <c:yVal>
            <c:numRef>
              <c:f>'DATOS %'!$H$92:$H$94</c:f>
              <c:numCache>
                <c:formatCode>General</c:formatCode>
                <c:ptCount val="3"/>
                <c:pt idx="0">
                  <c:v>-3</c:v>
                </c:pt>
                <c:pt idx="1">
                  <c:v>-1.2</c:v>
                </c:pt>
                <c:pt idx="2">
                  <c:v>2.4</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85926400"/>
        <c:axId val="185927936"/>
      </c:scatterChart>
      <c:valAx>
        <c:axId val="18592640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927936"/>
        <c:crosses val="autoZero"/>
        <c:crossBetween val="midCat"/>
      </c:valAx>
      <c:valAx>
        <c:axId val="18592793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92640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%'!$A$95</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%'!$F$95:$F$97</c:f>
              <c:numCache>
                <c:formatCode>0.000</c:formatCode>
                <c:ptCount val="3"/>
                <c:pt idx="0" formatCode="General">
                  <c:v>598.11699999999996</c:v>
                </c:pt>
                <c:pt idx="1">
                  <c:v>752.82</c:v>
                </c:pt>
                <c:pt idx="2">
                  <c:v>848.553</c:v>
                </c:pt>
              </c:numCache>
            </c:numRef>
          </c:xVal>
          <c:yVal>
            <c:numRef>
              <c:f>'DATOS %'!$H$95:$H$97</c:f>
              <c:numCache>
                <c:formatCode>0.00</c:formatCode>
                <c:ptCount val="3"/>
                <c:pt idx="0" formatCode="General">
                  <c:v>1.4450000000000001</c:v>
                </c:pt>
                <c:pt idx="1">
                  <c:v>0.95399999999999996</c:v>
                </c:pt>
                <c:pt idx="2" formatCode="General">
                  <c:v>0.70399999999999996</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85974784"/>
        <c:axId val="185976320"/>
      </c:scatterChart>
      <c:valAx>
        <c:axId val="18597478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976320"/>
        <c:crosses val="autoZero"/>
        <c:crossBetween val="midCat"/>
      </c:valAx>
      <c:valAx>
        <c:axId val="18597632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97478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%'!$A$100</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%'!$F$100:$F$102</c:f>
              <c:numCache>
                <c:formatCode>0.0</c:formatCode>
                <c:ptCount val="3"/>
                <c:pt idx="0" formatCode="General">
                  <c:v>15.1</c:v>
                </c:pt>
                <c:pt idx="1">
                  <c:v>24.8</c:v>
                </c:pt>
                <c:pt idx="2">
                  <c:v>29.7</c:v>
                </c:pt>
              </c:numCache>
            </c:numRef>
          </c:xVal>
          <c:yVal>
            <c:numRef>
              <c:f>'DATOS %'!$H$100:$H$102</c:f>
              <c:numCache>
                <c:formatCode>0.0</c:formatCode>
                <c:ptCount val="3"/>
                <c:pt idx="0">
                  <c:v>0.2</c:v>
                </c:pt>
                <c:pt idx="1">
                  <c:v>-0.1</c:v>
                </c:pt>
                <c:pt idx="2">
                  <c:v>-0.3</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85240576"/>
        <c:axId val="185254656"/>
      </c:scatterChart>
      <c:valAx>
        <c:axId val="18524057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254656"/>
        <c:crosses val="autoZero"/>
        <c:crossBetween val="midCat"/>
      </c:valAx>
      <c:valAx>
        <c:axId val="18525465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24057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%'!$A$103</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%'!$F$103:$F$105</c:f>
              <c:numCache>
                <c:formatCode>General</c:formatCode>
                <c:ptCount val="3"/>
                <c:pt idx="0">
                  <c:v>33.200000000000003</c:v>
                </c:pt>
                <c:pt idx="1">
                  <c:v>51.4</c:v>
                </c:pt>
                <c:pt idx="2">
                  <c:v>77.599999999999994</c:v>
                </c:pt>
              </c:numCache>
            </c:numRef>
          </c:xVal>
          <c:yVal>
            <c:numRef>
              <c:f>'DATOS %'!$H$103:$H$105</c:f>
              <c:numCache>
                <c:formatCode>General</c:formatCode>
                <c:ptCount val="3"/>
                <c:pt idx="0">
                  <c:v>-3.2</c:v>
                </c:pt>
                <c:pt idx="1">
                  <c:v>-1.5</c:v>
                </c:pt>
                <c:pt idx="2">
                  <c:v>2.5</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85358592"/>
        <c:axId val="185364480"/>
      </c:scatterChart>
      <c:valAx>
        <c:axId val="18535859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364480"/>
        <c:crosses val="autoZero"/>
        <c:crossBetween val="midCat"/>
      </c:valAx>
      <c:valAx>
        <c:axId val="18536448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35859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%'!$A$106</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%'!$F$106:$F$108</c:f>
              <c:numCache>
                <c:formatCode>General</c:formatCode>
                <c:ptCount val="3"/>
                <c:pt idx="0" formatCode="0.000">
                  <c:v>598.08199999999999</c:v>
                </c:pt>
                <c:pt idx="1">
                  <c:v>752.79499999999996</c:v>
                </c:pt>
                <c:pt idx="2" formatCode="0.000">
                  <c:v>848.6</c:v>
                </c:pt>
              </c:numCache>
            </c:numRef>
          </c:xVal>
          <c:yVal>
            <c:numRef>
              <c:f>'DATOS %'!$H$106:$H$108</c:f>
              <c:numCache>
                <c:formatCode>0.000</c:formatCode>
                <c:ptCount val="3"/>
                <c:pt idx="0" formatCode="General">
                  <c:v>1.4830000000000001</c:v>
                </c:pt>
                <c:pt idx="1">
                  <c:v>0.97299999999999998</c:v>
                </c:pt>
                <c:pt idx="2" formatCode="General">
                  <c:v>0.65600000000000003</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85396608"/>
        <c:axId val="185281536"/>
      </c:scatterChart>
      <c:valAx>
        <c:axId val="18539660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281536"/>
        <c:crosses val="autoZero"/>
        <c:crossBetween val="midCat"/>
      </c:valAx>
      <c:valAx>
        <c:axId val="18528153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39660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%'!$B$44</c:f>
              <c:strCache>
                <c:ptCount val="1"/>
                <c:pt idx="0">
                  <c:v>Termómetro utilizado en el liquido del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%'!$F$44:$F$48</c:f>
              <c:numCache>
                <c:formatCode>0.000</c:formatCode>
                <c:ptCount val="5"/>
                <c:pt idx="0">
                  <c:v>14.031000000000001</c:v>
                </c:pt>
                <c:pt idx="1">
                  <c:v>16.033000000000001</c:v>
                </c:pt>
                <c:pt idx="2">
                  <c:v>17.032</c:v>
                </c:pt>
                <c:pt idx="3" formatCode="General">
                  <c:v>18.027999999999999</c:v>
                </c:pt>
                <c:pt idx="4" formatCode="General">
                  <c:v>22.030999999999999</c:v>
                </c:pt>
              </c:numCache>
            </c:numRef>
          </c:xVal>
          <c:yVal>
            <c:numRef>
              <c:f>'DATOS %'!$H$44:$H$48</c:f>
              <c:numCache>
                <c:formatCode>0.000</c:formatCode>
                <c:ptCount val="5"/>
                <c:pt idx="0" formatCode="General">
                  <c:v>-1.7000000000000001E-2</c:v>
                </c:pt>
                <c:pt idx="1">
                  <c:v>-0.02</c:v>
                </c:pt>
                <c:pt idx="2">
                  <c:v>-2.1000000000000001E-2</c:v>
                </c:pt>
                <c:pt idx="3" formatCode="General">
                  <c:v>-2.1999999999999999E-2</c:v>
                </c:pt>
                <c:pt idx="4" formatCode="General">
                  <c:v>-2.7E-2</c:v>
                </c:pt>
              </c:numCache>
            </c:numRef>
          </c:yVal>
          <c:smooth val="0"/>
          <c:extLs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185328384"/>
        <c:axId val="185329920"/>
      </c:scatterChart>
      <c:valAx>
        <c:axId val="18532838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329920"/>
        <c:crosses val="autoZero"/>
        <c:crossBetween val="midCat"/>
      </c:valAx>
      <c:valAx>
        <c:axId val="18532992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32838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%'!$B$38</c:f>
              <c:strCache>
                <c:ptCount val="1"/>
                <c:pt idx="0">
                  <c:v>Termómetro utilizado en el liquido del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0.0000"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%'!$F$38:$F$42</c:f>
              <c:numCache>
                <c:formatCode>0.000</c:formatCode>
                <c:ptCount val="5"/>
                <c:pt idx="0">
                  <c:v>14.068</c:v>
                </c:pt>
                <c:pt idx="1">
                  <c:v>16.07</c:v>
                </c:pt>
                <c:pt idx="2">
                  <c:v>17.068999999999999</c:v>
                </c:pt>
                <c:pt idx="3" formatCode="General">
                  <c:v>18.065999999999999</c:v>
                </c:pt>
                <c:pt idx="4" formatCode="General">
                  <c:v>22.07</c:v>
                </c:pt>
              </c:numCache>
            </c:numRef>
          </c:xVal>
          <c:yVal>
            <c:numRef>
              <c:f>'DATOS %'!$H$38:$H$42</c:f>
              <c:numCache>
                <c:formatCode>General</c:formatCode>
                <c:ptCount val="5"/>
                <c:pt idx="0">
                  <c:v>-5.3999999999999999E-2</c:v>
                </c:pt>
                <c:pt idx="1">
                  <c:v>-5.7000000000000002E-2</c:v>
                </c:pt>
                <c:pt idx="2">
                  <c:v>-5.8999999999999997E-2</c:v>
                </c:pt>
                <c:pt idx="3">
                  <c:v>-6.0999999999999999E-2</c:v>
                </c:pt>
                <c:pt idx="4">
                  <c:v>-6.7000000000000004E-2</c:v>
                </c:pt>
              </c:numCache>
            </c:numRef>
          </c:yVal>
          <c:smooth val="0"/>
          <c:extLs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185446400"/>
        <c:axId val="185447936"/>
      </c:scatterChart>
      <c:valAx>
        <c:axId val="18544640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447936"/>
        <c:crosses val="autoZero"/>
        <c:crossBetween val="midCat"/>
      </c:valAx>
      <c:valAx>
        <c:axId val="18544793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44640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'RT03-F11 %'!$A$8:$A$12</c:f>
              <c:strCache>
                <c:ptCount val="5"/>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'RT03-F11 %'!$C$8:$C$12</c:f>
              <c:numCache>
                <c:formatCode>0.000</c:formatCode>
                <c:ptCount val="5"/>
                <c:pt idx="0">
                  <c:v>#N/A</c:v>
                </c:pt>
                <c:pt idx="1">
                  <c:v>#N/A</c:v>
                </c:pt>
                <c:pt idx="2">
                  <c:v>#N/A</c:v>
                </c:pt>
                <c:pt idx="3">
                  <c:v>#N/A</c:v>
                </c:pt>
                <c:pt idx="4">
                  <c:v>#N/A</c:v>
                </c:pt>
              </c:numCache>
            </c:numRef>
          </c:xVal>
          <c:yVal>
            <c:numRef>
              <c:f>'RT03-F11 %'!$G$8:$G$12</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188052992"/>
        <c:axId val="188054528"/>
      </c:scatterChart>
      <c:valAx>
        <c:axId val="18805299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8054528"/>
        <c:crosses val="autoZero"/>
        <c:crossBetween val="midCat"/>
      </c:valAx>
      <c:valAx>
        <c:axId val="18805452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805299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'RT03-F11 %'!$A$13:$A$17</c:f>
              <c:strCache>
                <c:ptCount val="5"/>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'RT03-F11 %'!$C$13:$C$17</c:f>
              <c:numCache>
                <c:formatCode>0.000</c:formatCode>
                <c:ptCount val="5"/>
                <c:pt idx="0">
                  <c:v>#N/A</c:v>
                </c:pt>
                <c:pt idx="1">
                  <c:v>#N/A</c:v>
                </c:pt>
                <c:pt idx="2">
                  <c:v>#N/A</c:v>
                </c:pt>
                <c:pt idx="3">
                  <c:v>#N/A</c:v>
                </c:pt>
                <c:pt idx="4">
                  <c:v>#N/A</c:v>
                </c:pt>
              </c:numCache>
            </c:numRef>
          </c:xVal>
          <c:yVal>
            <c:numRef>
              <c:f>'RT03-F11 %'!$G$13:$G$17</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188498688"/>
        <c:axId val="188500224"/>
      </c:scatterChart>
      <c:valAx>
        <c:axId val="18849868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8500224"/>
        <c:crosses val="autoZero"/>
        <c:crossBetween val="midCat"/>
      </c:valAx>
      <c:valAx>
        <c:axId val="18850022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849868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%'!$F$59:$F$61</c:f>
              <c:numCache>
                <c:formatCode>0.0</c:formatCode>
                <c:ptCount val="3"/>
                <c:pt idx="0" formatCode="General">
                  <c:v>33.299999999999997</c:v>
                </c:pt>
                <c:pt idx="1">
                  <c:v>51.2</c:v>
                </c:pt>
                <c:pt idx="2" formatCode="General">
                  <c:v>77.099999999999994</c:v>
                </c:pt>
              </c:numCache>
            </c:numRef>
          </c:xVal>
          <c:yVal>
            <c:numRef>
              <c:f>'DATOS %'!$H$59:$H$61</c:f>
              <c:numCache>
                <c:formatCode>0.0</c:formatCode>
                <c:ptCount val="3"/>
                <c:pt idx="0" formatCode="General">
                  <c:v>-3.3</c:v>
                </c:pt>
                <c:pt idx="1">
                  <c:v>-1.3</c:v>
                </c:pt>
                <c:pt idx="2">
                  <c:v>3</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65527552"/>
        <c:axId val="165529088"/>
      </c:scatterChart>
      <c:valAx>
        <c:axId val="16552755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65529088"/>
        <c:crosses val="autoZero"/>
        <c:crossBetween val="midCat"/>
      </c:valAx>
      <c:valAx>
        <c:axId val="16552908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6552755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%'!$F$56:$F$58</c:f>
              <c:numCache>
                <c:formatCode>General</c:formatCode>
                <c:ptCount val="3"/>
                <c:pt idx="0">
                  <c:v>15.3</c:v>
                </c:pt>
                <c:pt idx="1">
                  <c:v>24.7</c:v>
                </c:pt>
                <c:pt idx="2" formatCode="0.0">
                  <c:v>29.5</c:v>
                </c:pt>
              </c:numCache>
            </c:numRef>
          </c:xVal>
          <c:yVal>
            <c:numRef>
              <c:f>'DATOS %'!$H$56:$H$58</c:f>
              <c:numCache>
                <c:formatCode>0.0</c:formatCode>
                <c:ptCount val="3"/>
                <c:pt idx="0">
                  <c:v>0</c:v>
                </c:pt>
                <c:pt idx="1">
                  <c:v>0</c:v>
                </c:pt>
                <c:pt idx="2">
                  <c:v>-0.1</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88379136"/>
        <c:axId val="188380672"/>
      </c:scatterChart>
      <c:valAx>
        <c:axId val="18837913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8380672"/>
        <c:crosses val="autoZero"/>
        <c:crossBetween val="midCat"/>
      </c:valAx>
      <c:valAx>
        <c:axId val="18838067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837913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%'!$F$59:$F$61</c:f>
              <c:numCache>
                <c:formatCode>0.0</c:formatCode>
                <c:ptCount val="3"/>
                <c:pt idx="0" formatCode="General">
                  <c:v>33.299999999999997</c:v>
                </c:pt>
                <c:pt idx="1">
                  <c:v>51.2</c:v>
                </c:pt>
                <c:pt idx="2" formatCode="General">
                  <c:v>77.099999999999994</c:v>
                </c:pt>
              </c:numCache>
            </c:numRef>
          </c:xVal>
          <c:yVal>
            <c:numRef>
              <c:f>'DATOS %'!$H$59:$H$61</c:f>
              <c:numCache>
                <c:formatCode>0.0</c:formatCode>
                <c:ptCount val="3"/>
                <c:pt idx="0" formatCode="General">
                  <c:v>-3.3</c:v>
                </c:pt>
                <c:pt idx="1">
                  <c:v>-1.3</c:v>
                </c:pt>
                <c:pt idx="2">
                  <c:v>3</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88161024"/>
        <c:axId val="188166912"/>
      </c:scatterChart>
      <c:valAx>
        <c:axId val="18816102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8166912"/>
        <c:crosses val="autoZero"/>
        <c:crossBetween val="midCat"/>
      </c:valAx>
      <c:valAx>
        <c:axId val="18816691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816102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%'!$F$62:$F$64</c:f>
              <c:numCache>
                <c:formatCode>General</c:formatCode>
                <c:ptCount val="3"/>
                <c:pt idx="0">
                  <c:v>598.03200000000004</c:v>
                </c:pt>
                <c:pt idx="1">
                  <c:v>752.71299999999997</c:v>
                </c:pt>
                <c:pt idx="2" formatCode="0.0">
                  <c:v>848.5</c:v>
                </c:pt>
              </c:numCache>
            </c:numRef>
          </c:xVal>
          <c:yVal>
            <c:numRef>
              <c:f>'DATOS %'!$H$62:$H$64</c:f>
              <c:numCache>
                <c:formatCode>0.000</c:formatCode>
                <c:ptCount val="3"/>
                <c:pt idx="0">
                  <c:v>1.534</c:v>
                </c:pt>
                <c:pt idx="1">
                  <c:v>1.0549999999999999</c:v>
                </c:pt>
                <c:pt idx="2">
                  <c:v>0.77800000000000002</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88196736"/>
        <c:axId val="188198272"/>
      </c:scatterChart>
      <c:valAx>
        <c:axId val="18819673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8198272"/>
        <c:crosses val="autoZero"/>
        <c:crossBetween val="midCat"/>
      </c:valAx>
      <c:valAx>
        <c:axId val="18819827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819673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v>Aporte a la incertidumbre</c:v>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('RT03-F11 %'!$B$89:$C$90,'RT03-F11 %'!$B$93:$C$95,'RT03-F11 %'!$B$98:$C$101,'RT03-F11 %'!$B$103:$C$106,'RT03-F11 %'!$B$108:$C$112,'RT03-F11 %'!$B$115:$C$118)</c:f>
              <c:strCache>
                <c:ptCount val="22"/>
                <c:pt idx="0">
                  <c:v>Calibración </c:v>
                </c:pt>
                <c:pt idx="1">
                  <c:v>Deriva</c:v>
                </c:pt>
                <c:pt idx="2">
                  <c:v>Calibración  " IP "</c:v>
                </c:pt>
                <c:pt idx="3">
                  <c:v>Resolución    " IP "</c:v>
                </c:pt>
                <c:pt idx="4">
                  <c:v>Deriva  " IP "</c:v>
                </c:pt>
                <c:pt idx="5">
                  <c:v>Resolución termómetro</c:v>
                </c:pt>
                <c:pt idx="6">
                  <c:v>Calibración</c:v>
                </c:pt>
                <c:pt idx="7">
                  <c:v>Deriva</c:v>
                </c:pt>
                <c:pt idx="8">
                  <c:v>Inhomogenidad</c:v>
                </c:pt>
                <c:pt idx="9">
                  <c:v>Resolución termómetro</c:v>
                </c:pt>
                <c:pt idx="10">
                  <c:v>Calibración</c:v>
                </c:pt>
                <c:pt idx="11">
                  <c:v>Deriva</c:v>
                </c:pt>
                <c:pt idx="12">
                  <c:v>Inhomogenidad</c:v>
                </c:pt>
                <c:pt idx="13">
                  <c:v>Coeficiente cúbico de expansión térmico del Agua</c:v>
                </c:pt>
                <c:pt idx="14">
                  <c:v>Coeficiente cúbico de expansión térmico del material</c:v>
                </c:pt>
                <c:pt idx="15">
                  <c:v>Coeficiente cúbico de expansión térmico del material</c:v>
                </c:pt>
                <c:pt idx="16">
                  <c:v>Coeficiente cúbico de expansión térmico del material</c:v>
                </c:pt>
                <c:pt idx="17">
                  <c:v>Incertidumbre por repetibilidad del método</c:v>
                </c:pt>
                <c:pt idx="18">
                  <c:v>Lectura del menisco RVP  </c:v>
                </c:pt>
                <c:pt idx="19">
                  <c:v>Lectura del menisco RVC  </c:v>
                </c:pt>
                <c:pt idx="20">
                  <c:v>Delta por repetibilidad</c:v>
                </c:pt>
                <c:pt idx="21">
                  <c:v>Delta de adicionales</c:v>
                </c:pt>
              </c:strCache>
            </c:strRef>
          </c:cat>
          <c:val>
            <c:numRef>
              <c:f>('RT03-F11 %'!$R$89:$R$90,'RT03-F11 %'!$R$93:$R$95,'RT03-F11 %'!$R$98:$R$101,'RT03-F11 %'!$R$103:$R$106,'RT03-F11 %'!$R$108:$R$112,'RT03-F11 %'!$R$114:$R$118)</c:f>
              <c:numCache>
                <c:formatCode>General</c:formatCode>
                <c:ptCount val="2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9">
                  <c:v>#N/A</c:v>
                </c:pt>
                <c:pt idx="20">
                  <c:v>#N/A</c:v>
                </c:pt>
                <c:pt idx="21">
                  <c:v>#N/A</c:v>
                </c:pt>
                <c:pt idx="22">
                  <c:v>#N/A</c:v>
                </c:pt>
              </c:numCache>
            </c:numRef>
          </c:val>
          <c:extLst>
            <c:ext xmlns:c16="http://schemas.microsoft.com/office/drawing/2014/chart" uri="{C3380CC4-5D6E-409C-BE32-E72D297353CC}">
              <c16:uniqueId val="{00000000-64FB-4B28-9DEF-2786E734D1EE}"/>
            </c:ext>
          </c:extLst>
        </c:ser>
        <c:dLbls>
          <c:dLblPos val="inEnd"/>
          <c:showLegendKey val="0"/>
          <c:showVal val="1"/>
          <c:showCatName val="0"/>
          <c:showSerName val="0"/>
          <c:showPercent val="0"/>
          <c:showBubbleSize val="0"/>
        </c:dLbls>
        <c:gapWidth val="65"/>
        <c:axId val="188218368"/>
        <c:axId val="188266368"/>
      </c:barChart>
      <c:catAx>
        <c:axId val="1882183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188266368"/>
        <c:crosses val="autoZero"/>
        <c:auto val="1"/>
        <c:lblAlgn val="ctr"/>
        <c:lblOffset val="100"/>
        <c:noMultiLvlLbl val="0"/>
      </c:catAx>
      <c:valAx>
        <c:axId val="18826636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188218368"/>
        <c:crosses val="autoZero"/>
        <c:crossBetween val="between"/>
      </c:valAx>
      <c:spPr>
        <a:noFill/>
        <a:ln>
          <a:no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'Después de ajuste %'!$A$8:$A$12</c:f>
              <c:strCache>
                <c:ptCount val="5"/>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'Después de ajuste %'!$C$8:$C$12</c:f>
              <c:numCache>
                <c:formatCode>0.000</c:formatCode>
                <c:ptCount val="5"/>
                <c:pt idx="0">
                  <c:v>#N/A</c:v>
                </c:pt>
                <c:pt idx="1">
                  <c:v>#N/A</c:v>
                </c:pt>
                <c:pt idx="2">
                  <c:v>#N/A</c:v>
                </c:pt>
                <c:pt idx="3">
                  <c:v>#N/A</c:v>
                </c:pt>
                <c:pt idx="4">
                  <c:v>#N/A</c:v>
                </c:pt>
              </c:numCache>
            </c:numRef>
          </c:xVal>
          <c:yVal>
            <c:numRef>
              <c:f>'Después de ajuste %'!$G$8:$G$12</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189593472"/>
        <c:axId val="189595008"/>
      </c:scatterChart>
      <c:valAx>
        <c:axId val="18959347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595008"/>
        <c:crosses val="autoZero"/>
        <c:crossBetween val="midCat"/>
      </c:valAx>
      <c:valAx>
        <c:axId val="18959500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59347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'Después de ajuste %'!$A$13:$A$17</c:f>
              <c:strCache>
                <c:ptCount val="5"/>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'Después de ajuste %'!$C$13:$C$17</c:f>
              <c:numCache>
                <c:formatCode>0.000</c:formatCode>
                <c:ptCount val="5"/>
                <c:pt idx="0">
                  <c:v>#N/A</c:v>
                </c:pt>
                <c:pt idx="1">
                  <c:v>#N/A</c:v>
                </c:pt>
                <c:pt idx="2">
                  <c:v>#N/A</c:v>
                </c:pt>
                <c:pt idx="3">
                  <c:v>#N/A</c:v>
                </c:pt>
                <c:pt idx="4">
                  <c:v>#N/A</c:v>
                </c:pt>
              </c:numCache>
            </c:numRef>
          </c:xVal>
          <c:yVal>
            <c:numRef>
              <c:f>'Después de ajuste %'!$G$13:$G$17</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189625088"/>
        <c:axId val="189626624"/>
      </c:scatterChart>
      <c:valAx>
        <c:axId val="18962508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626624"/>
        <c:crosses val="autoZero"/>
        <c:crossBetween val="midCat"/>
      </c:valAx>
      <c:valAx>
        <c:axId val="18962662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62508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%'!$F$56:$F$58</c:f>
              <c:numCache>
                <c:formatCode>General</c:formatCode>
                <c:ptCount val="3"/>
                <c:pt idx="0">
                  <c:v>15.3</c:v>
                </c:pt>
                <c:pt idx="1">
                  <c:v>24.7</c:v>
                </c:pt>
                <c:pt idx="2" formatCode="0.0">
                  <c:v>29.5</c:v>
                </c:pt>
              </c:numCache>
            </c:numRef>
          </c:xVal>
          <c:yVal>
            <c:numRef>
              <c:f>'DATOS %'!$H$56:$H$58</c:f>
              <c:numCache>
                <c:formatCode>0.0</c:formatCode>
                <c:ptCount val="3"/>
                <c:pt idx="0">
                  <c:v>0</c:v>
                </c:pt>
                <c:pt idx="1">
                  <c:v>0</c:v>
                </c:pt>
                <c:pt idx="2">
                  <c:v>-0.1</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89833216"/>
        <c:axId val="189834752"/>
      </c:scatterChart>
      <c:valAx>
        <c:axId val="18983321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834752"/>
        <c:crosses val="autoZero"/>
        <c:crossBetween val="midCat"/>
      </c:valAx>
      <c:valAx>
        <c:axId val="18983475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83321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%'!$F$59:$F$61</c:f>
              <c:numCache>
                <c:formatCode>0.0</c:formatCode>
                <c:ptCount val="3"/>
                <c:pt idx="0" formatCode="General">
                  <c:v>33.299999999999997</c:v>
                </c:pt>
                <c:pt idx="1">
                  <c:v>51.2</c:v>
                </c:pt>
                <c:pt idx="2" formatCode="General">
                  <c:v>77.099999999999994</c:v>
                </c:pt>
              </c:numCache>
            </c:numRef>
          </c:xVal>
          <c:yVal>
            <c:numRef>
              <c:f>'DATOS %'!$H$59:$H$61</c:f>
              <c:numCache>
                <c:formatCode>0.0</c:formatCode>
                <c:ptCount val="3"/>
                <c:pt idx="0" formatCode="General">
                  <c:v>-3.3</c:v>
                </c:pt>
                <c:pt idx="1">
                  <c:v>-1.3</c:v>
                </c:pt>
                <c:pt idx="2">
                  <c:v>3</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89729792"/>
        <c:axId val="189752064"/>
      </c:scatterChart>
      <c:valAx>
        <c:axId val="18972979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752064"/>
        <c:crosses val="autoZero"/>
        <c:crossBetween val="midCat"/>
      </c:valAx>
      <c:valAx>
        <c:axId val="18975206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72979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%'!$F$62:$F$64</c:f>
              <c:numCache>
                <c:formatCode>General</c:formatCode>
                <c:ptCount val="3"/>
                <c:pt idx="0">
                  <c:v>598.03200000000004</c:v>
                </c:pt>
                <c:pt idx="1">
                  <c:v>752.71299999999997</c:v>
                </c:pt>
                <c:pt idx="2" formatCode="0.0">
                  <c:v>848.5</c:v>
                </c:pt>
              </c:numCache>
            </c:numRef>
          </c:xVal>
          <c:yVal>
            <c:numRef>
              <c:f>'DATOS %'!$H$62:$H$64</c:f>
              <c:numCache>
                <c:formatCode>0.000</c:formatCode>
                <c:ptCount val="3"/>
                <c:pt idx="0">
                  <c:v>1.534</c:v>
                </c:pt>
                <c:pt idx="1">
                  <c:v>1.0549999999999999</c:v>
                </c:pt>
                <c:pt idx="2">
                  <c:v>0.77800000000000002</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89933824"/>
        <c:axId val="189939712"/>
      </c:scatterChart>
      <c:valAx>
        <c:axId val="18993382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939712"/>
        <c:crosses val="autoZero"/>
        <c:crossBetween val="midCat"/>
      </c:valAx>
      <c:valAx>
        <c:axId val="18993971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93382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'RT03-F11 %'!$A$8:$A$12</c:f>
              <c:strCache>
                <c:ptCount val="5"/>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'RT03-F11 %'!$C$8:$C$12</c:f>
              <c:numCache>
                <c:formatCode>0.000</c:formatCode>
                <c:ptCount val="5"/>
                <c:pt idx="0">
                  <c:v>#N/A</c:v>
                </c:pt>
                <c:pt idx="1">
                  <c:v>#N/A</c:v>
                </c:pt>
                <c:pt idx="2">
                  <c:v>#N/A</c:v>
                </c:pt>
                <c:pt idx="3">
                  <c:v>#N/A</c:v>
                </c:pt>
                <c:pt idx="4">
                  <c:v>#N/A</c:v>
                </c:pt>
              </c:numCache>
            </c:numRef>
          </c:xVal>
          <c:yVal>
            <c:numRef>
              <c:f>'RT03-F11 %'!$G$8:$G$12</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0-54B8-463C-A9C9-9CC6F37240E7}"/>
            </c:ext>
          </c:extLst>
        </c:ser>
        <c:dLbls>
          <c:showLegendKey val="0"/>
          <c:showVal val="0"/>
          <c:showCatName val="0"/>
          <c:showSerName val="0"/>
          <c:showPercent val="0"/>
          <c:showBubbleSize val="0"/>
        </c:dLbls>
        <c:axId val="189404288"/>
        <c:axId val="189405824"/>
      </c:scatterChart>
      <c:valAx>
        <c:axId val="18940428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405824"/>
        <c:crosses val="autoZero"/>
        <c:crossBetween val="midCat"/>
      </c:valAx>
      <c:valAx>
        <c:axId val="18940582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40428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%'!$F$62:$F$64</c:f>
              <c:numCache>
                <c:formatCode>General</c:formatCode>
                <c:ptCount val="3"/>
                <c:pt idx="0">
                  <c:v>598.03200000000004</c:v>
                </c:pt>
                <c:pt idx="1">
                  <c:v>752.71299999999997</c:v>
                </c:pt>
                <c:pt idx="2" formatCode="0.0">
                  <c:v>848.5</c:v>
                </c:pt>
              </c:numCache>
            </c:numRef>
          </c:xVal>
          <c:yVal>
            <c:numRef>
              <c:f>'DATOS %'!$H$62:$H$64</c:f>
              <c:numCache>
                <c:formatCode>0.000</c:formatCode>
                <c:ptCount val="3"/>
                <c:pt idx="0">
                  <c:v>1.534</c:v>
                </c:pt>
                <c:pt idx="1">
                  <c:v>1.0549999999999999</c:v>
                </c:pt>
                <c:pt idx="2">
                  <c:v>0.77800000000000002</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85478144"/>
        <c:axId val="185492224"/>
      </c:scatterChart>
      <c:valAx>
        <c:axId val="18547814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492224"/>
        <c:crosses val="autoZero"/>
        <c:crossBetween val="midCat"/>
      </c:valAx>
      <c:valAx>
        <c:axId val="18549222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47814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'RT03-F11 %'!$A$13:$A$17</c:f>
              <c:strCache>
                <c:ptCount val="5"/>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'RT03-F11 %'!$C$13:$C$17</c:f>
              <c:numCache>
                <c:formatCode>0.000</c:formatCode>
                <c:ptCount val="5"/>
                <c:pt idx="0">
                  <c:v>#N/A</c:v>
                </c:pt>
                <c:pt idx="1">
                  <c:v>#N/A</c:v>
                </c:pt>
                <c:pt idx="2">
                  <c:v>#N/A</c:v>
                </c:pt>
                <c:pt idx="3">
                  <c:v>#N/A</c:v>
                </c:pt>
                <c:pt idx="4">
                  <c:v>#N/A</c:v>
                </c:pt>
              </c:numCache>
            </c:numRef>
          </c:xVal>
          <c:yVal>
            <c:numRef>
              <c:f>'RT03-F11 %'!$G$13:$G$17</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0-F407-49D4-A8EE-103EAA86AA3E}"/>
            </c:ext>
          </c:extLst>
        </c:ser>
        <c:dLbls>
          <c:showLegendKey val="0"/>
          <c:showVal val="0"/>
          <c:showCatName val="0"/>
          <c:showSerName val="0"/>
          <c:showPercent val="0"/>
          <c:showBubbleSize val="0"/>
        </c:dLbls>
        <c:axId val="189550976"/>
        <c:axId val="189552512"/>
      </c:scatterChart>
      <c:valAx>
        <c:axId val="18955097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552512"/>
        <c:crosses val="autoZero"/>
        <c:crossBetween val="midCat"/>
      </c:valAx>
      <c:valAx>
        <c:axId val="18955251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55097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%'!$F$56:$F$58</c:f>
              <c:numCache>
                <c:formatCode>General</c:formatCode>
                <c:ptCount val="3"/>
                <c:pt idx="0">
                  <c:v>15.3</c:v>
                </c:pt>
                <c:pt idx="1">
                  <c:v>24.7</c:v>
                </c:pt>
                <c:pt idx="2" formatCode="0.0">
                  <c:v>29.5</c:v>
                </c:pt>
              </c:numCache>
            </c:numRef>
          </c:xVal>
          <c:yVal>
            <c:numRef>
              <c:f>'DATOS %'!$H$56:$H$58</c:f>
              <c:numCache>
                <c:formatCode>0.0</c:formatCode>
                <c:ptCount val="3"/>
                <c:pt idx="0">
                  <c:v>0</c:v>
                </c:pt>
                <c:pt idx="1">
                  <c:v>0</c:v>
                </c:pt>
                <c:pt idx="2">
                  <c:v>-0.1</c:v>
                </c:pt>
              </c:numCache>
            </c:numRef>
          </c:yVal>
          <c:smooth val="0"/>
          <c:extLst>
            <c:ext xmlns:c16="http://schemas.microsoft.com/office/drawing/2014/chart" uri="{C3380CC4-5D6E-409C-BE32-E72D297353CC}">
              <c16:uniqueId val="{00000000-83F5-4591-A675-86D7343467EF}"/>
            </c:ext>
          </c:extLst>
        </c:ser>
        <c:dLbls>
          <c:showLegendKey val="0"/>
          <c:showVal val="0"/>
          <c:showCatName val="0"/>
          <c:showSerName val="0"/>
          <c:showPercent val="0"/>
          <c:showBubbleSize val="0"/>
        </c:dLbls>
        <c:axId val="189484416"/>
        <c:axId val="189498496"/>
      </c:scatterChart>
      <c:valAx>
        <c:axId val="18948441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498496"/>
        <c:crosses val="autoZero"/>
        <c:crossBetween val="midCat"/>
      </c:valAx>
      <c:valAx>
        <c:axId val="18949849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48441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%'!$F$59:$F$61</c:f>
              <c:numCache>
                <c:formatCode>0.0</c:formatCode>
                <c:ptCount val="3"/>
                <c:pt idx="0" formatCode="General">
                  <c:v>33.299999999999997</c:v>
                </c:pt>
                <c:pt idx="1">
                  <c:v>51.2</c:v>
                </c:pt>
                <c:pt idx="2" formatCode="General">
                  <c:v>77.099999999999994</c:v>
                </c:pt>
              </c:numCache>
            </c:numRef>
          </c:xVal>
          <c:yVal>
            <c:numRef>
              <c:f>'DATOS %'!$H$59:$H$61</c:f>
              <c:numCache>
                <c:formatCode>0.0</c:formatCode>
                <c:ptCount val="3"/>
                <c:pt idx="0" formatCode="General">
                  <c:v>-3.3</c:v>
                </c:pt>
                <c:pt idx="1">
                  <c:v>-1.3</c:v>
                </c:pt>
                <c:pt idx="2">
                  <c:v>3</c:v>
                </c:pt>
              </c:numCache>
            </c:numRef>
          </c:yVal>
          <c:smooth val="0"/>
          <c:extLst>
            <c:ext xmlns:c16="http://schemas.microsoft.com/office/drawing/2014/chart" uri="{C3380CC4-5D6E-409C-BE32-E72D297353CC}">
              <c16:uniqueId val="{00000000-4ABB-40C1-B2ED-36FD509F6F4B}"/>
            </c:ext>
          </c:extLst>
        </c:ser>
        <c:dLbls>
          <c:showLegendKey val="0"/>
          <c:showVal val="0"/>
          <c:showCatName val="0"/>
          <c:showSerName val="0"/>
          <c:showPercent val="0"/>
          <c:showBubbleSize val="0"/>
        </c:dLbls>
        <c:axId val="190085760"/>
        <c:axId val="190087552"/>
      </c:scatterChart>
      <c:valAx>
        <c:axId val="19008576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087552"/>
        <c:crosses val="autoZero"/>
        <c:crossBetween val="midCat"/>
      </c:valAx>
      <c:valAx>
        <c:axId val="19008755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08576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%'!$F$62:$F$64</c:f>
              <c:numCache>
                <c:formatCode>General</c:formatCode>
                <c:ptCount val="3"/>
                <c:pt idx="0">
                  <c:v>598.03200000000004</c:v>
                </c:pt>
                <c:pt idx="1">
                  <c:v>752.71299999999997</c:v>
                </c:pt>
                <c:pt idx="2" formatCode="0.0">
                  <c:v>848.5</c:v>
                </c:pt>
              </c:numCache>
            </c:numRef>
          </c:xVal>
          <c:yVal>
            <c:numRef>
              <c:f>'DATOS %'!$H$62:$H$64</c:f>
              <c:numCache>
                <c:formatCode>0.000</c:formatCode>
                <c:ptCount val="3"/>
                <c:pt idx="0">
                  <c:v>1.534</c:v>
                </c:pt>
                <c:pt idx="1">
                  <c:v>1.0549999999999999</c:v>
                </c:pt>
                <c:pt idx="2">
                  <c:v>0.77800000000000002</c:v>
                </c:pt>
              </c:numCache>
            </c:numRef>
          </c:yVal>
          <c:smooth val="0"/>
          <c:extLst>
            <c:ext xmlns:c16="http://schemas.microsoft.com/office/drawing/2014/chart" uri="{C3380CC4-5D6E-409C-BE32-E72D297353CC}">
              <c16:uniqueId val="{00000000-4C7D-49CC-ACB5-599963065DFD}"/>
            </c:ext>
          </c:extLst>
        </c:ser>
        <c:dLbls>
          <c:showLegendKey val="0"/>
          <c:showVal val="0"/>
          <c:showCatName val="0"/>
          <c:showSerName val="0"/>
          <c:showPercent val="0"/>
          <c:showBubbleSize val="0"/>
        </c:dLbls>
        <c:axId val="190125952"/>
        <c:axId val="190127488"/>
      </c:scatterChart>
      <c:valAx>
        <c:axId val="19012595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127488"/>
        <c:crosses val="autoZero"/>
        <c:crossBetween val="midCat"/>
      </c:valAx>
      <c:valAx>
        <c:axId val="19012748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12595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'RT03-F11 %'!$A$8:$A$12</c:f>
              <c:strCache>
                <c:ptCount val="5"/>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'RT03-F11 %'!$C$8:$C$12</c:f>
              <c:numCache>
                <c:formatCode>0.000</c:formatCode>
                <c:ptCount val="5"/>
                <c:pt idx="0">
                  <c:v>#N/A</c:v>
                </c:pt>
                <c:pt idx="1">
                  <c:v>#N/A</c:v>
                </c:pt>
                <c:pt idx="2">
                  <c:v>#N/A</c:v>
                </c:pt>
                <c:pt idx="3">
                  <c:v>#N/A</c:v>
                </c:pt>
                <c:pt idx="4">
                  <c:v>#N/A</c:v>
                </c:pt>
              </c:numCache>
            </c:numRef>
          </c:xVal>
          <c:yVal>
            <c:numRef>
              <c:f>'RT03-F11 %'!$G$8:$G$12</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0-AE3C-4CC5-BE7C-859740D9D05F}"/>
            </c:ext>
          </c:extLst>
        </c:ser>
        <c:dLbls>
          <c:showLegendKey val="0"/>
          <c:showVal val="0"/>
          <c:showCatName val="0"/>
          <c:showSerName val="0"/>
          <c:showPercent val="0"/>
          <c:showBubbleSize val="0"/>
        </c:dLbls>
        <c:axId val="190710912"/>
        <c:axId val="190712448"/>
      </c:scatterChart>
      <c:valAx>
        <c:axId val="19071091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712448"/>
        <c:crosses val="autoZero"/>
        <c:crossBetween val="midCat"/>
      </c:valAx>
      <c:valAx>
        <c:axId val="19071244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71091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'RT03-F11 %'!$A$13:$A$17</c:f>
              <c:strCache>
                <c:ptCount val="5"/>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'RT03-F11 %'!$C$13:$C$17</c:f>
              <c:numCache>
                <c:formatCode>0.000</c:formatCode>
                <c:ptCount val="5"/>
                <c:pt idx="0">
                  <c:v>#N/A</c:v>
                </c:pt>
                <c:pt idx="1">
                  <c:v>#N/A</c:v>
                </c:pt>
                <c:pt idx="2">
                  <c:v>#N/A</c:v>
                </c:pt>
                <c:pt idx="3">
                  <c:v>#N/A</c:v>
                </c:pt>
                <c:pt idx="4">
                  <c:v>#N/A</c:v>
                </c:pt>
              </c:numCache>
            </c:numRef>
          </c:xVal>
          <c:yVal>
            <c:numRef>
              <c:f>'RT03-F11 %'!$G$13:$G$17</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0-0467-4F77-B00D-05684A47B24A}"/>
            </c:ext>
          </c:extLst>
        </c:ser>
        <c:dLbls>
          <c:showLegendKey val="0"/>
          <c:showVal val="0"/>
          <c:showCatName val="0"/>
          <c:showSerName val="0"/>
          <c:showPercent val="0"/>
          <c:showBubbleSize val="0"/>
        </c:dLbls>
        <c:axId val="190755200"/>
        <c:axId val="190756736"/>
      </c:scatterChart>
      <c:valAx>
        <c:axId val="19075520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756736"/>
        <c:crosses val="autoZero"/>
        <c:crossBetween val="midCat"/>
      </c:valAx>
      <c:valAx>
        <c:axId val="19075673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75520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%'!$F$56:$F$58</c:f>
              <c:numCache>
                <c:formatCode>General</c:formatCode>
                <c:ptCount val="3"/>
                <c:pt idx="0">
                  <c:v>15.3</c:v>
                </c:pt>
                <c:pt idx="1">
                  <c:v>24.7</c:v>
                </c:pt>
                <c:pt idx="2" formatCode="0.0">
                  <c:v>29.5</c:v>
                </c:pt>
              </c:numCache>
            </c:numRef>
          </c:xVal>
          <c:yVal>
            <c:numRef>
              <c:f>'DATOS %'!$H$56:$H$58</c:f>
              <c:numCache>
                <c:formatCode>0.0</c:formatCode>
                <c:ptCount val="3"/>
                <c:pt idx="0">
                  <c:v>0</c:v>
                </c:pt>
                <c:pt idx="1">
                  <c:v>0</c:v>
                </c:pt>
                <c:pt idx="2">
                  <c:v>-0.1</c:v>
                </c:pt>
              </c:numCache>
            </c:numRef>
          </c:yVal>
          <c:smooth val="0"/>
          <c:extLst>
            <c:ext xmlns:c16="http://schemas.microsoft.com/office/drawing/2014/chart" uri="{C3380CC4-5D6E-409C-BE32-E72D297353CC}">
              <c16:uniqueId val="{00000000-CF51-4C34-9B81-6093723D20F6}"/>
            </c:ext>
          </c:extLst>
        </c:ser>
        <c:dLbls>
          <c:showLegendKey val="0"/>
          <c:showVal val="0"/>
          <c:showCatName val="0"/>
          <c:showSerName val="0"/>
          <c:showPercent val="0"/>
          <c:showBubbleSize val="0"/>
        </c:dLbls>
        <c:axId val="190819712"/>
        <c:axId val="190825600"/>
      </c:scatterChart>
      <c:valAx>
        <c:axId val="19081971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825600"/>
        <c:crosses val="autoZero"/>
        <c:crossBetween val="midCat"/>
      </c:valAx>
      <c:valAx>
        <c:axId val="19082560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81971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%'!$F$59:$F$61</c:f>
              <c:numCache>
                <c:formatCode>0.0</c:formatCode>
                <c:ptCount val="3"/>
                <c:pt idx="0" formatCode="General">
                  <c:v>33.299999999999997</c:v>
                </c:pt>
                <c:pt idx="1">
                  <c:v>51.2</c:v>
                </c:pt>
                <c:pt idx="2" formatCode="General">
                  <c:v>77.099999999999994</c:v>
                </c:pt>
              </c:numCache>
            </c:numRef>
          </c:xVal>
          <c:yVal>
            <c:numRef>
              <c:f>'DATOS %'!$H$59:$H$61</c:f>
              <c:numCache>
                <c:formatCode>0.0</c:formatCode>
                <c:ptCount val="3"/>
                <c:pt idx="0" formatCode="General">
                  <c:v>-3.3</c:v>
                </c:pt>
                <c:pt idx="1">
                  <c:v>-1.3</c:v>
                </c:pt>
                <c:pt idx="2">
                  <c:v>3</c:v>
                </c:pt>
              </c:numCache>
            </c:numRef>
          </c:yVal>
          <c:smooth val="0"/>
          <c:extLst>
            <c:ext xmlns:c16="http://schemas.microsoft.com/office/drawing/2014/chart" uri="{C3380CC4-5D6E-409C-BE32-E72D297353CC}">
              <c16:uniqueId val="{00000000-3049-4E0B-BE2F-1AAF3E91E29A}"/>
            </c:ext>
          </c:extLst>
        </c:ser>
        <c:dLbls>
          <c:showLegendKey val="0"/>
          <c:showVal val="0"/>
          <c:showCatName val="0"/>
          <c:showSerName val="0"/>
          <c:showPercent val="0"/>
          <c:showBubbleSize val="0"/>
        </c:dLbls>
        <c:axId val="190986880"/>
        <c:axId val="191005056"/>
      </c:scatterChart>
      <c:valAx>
        <c:axId val="19098688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1005056"/>
        <c:crosses val="autoZero"/>
        <c:crossBetween val="midCat"/>
      </c:valAx>
      <c:valAx>
        <c:axId val="19100505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98688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%'!$F$62:$F$64</c:f>
              <c:numCache>
                <c:formatCode>General</c:formatCode>
                <c:ptCount val="3"/>
                <c:pt idx="0">
                  <c:v>598.03200000000004</c:v>
                </c:pt>
                <c:pt idx="1">
                  <c:v>752.71299999999997</c:v>
                </c:pt>
                <c:pt idx="2" formatCode="0.0">
                  <c:v>848.5</c:v>
                </c:pt>
              </c:numCache>
            </c:numRef>
          </c:xVal>
          <c:yVal>
            <c:numRef>
              <c:f>'DATOS %'!$H$62:$H$64</c:f>
              <c:numCache>
                <c:formatCode>0.000</c:formatCode>
                <c:ptCount val="3"/>
                <c:pt idx="0">
                  <c:v>1.534</c:v>
                </c:pt>
                <c:pt idx="1">
                  <c:v>1.0549999999999999</c:v>
                </c:pt>
                <c:pt idx="2">
                  <c:v>0.77800000000000002</c:v>
                </c:pt>
              </c:numCache>
            </c:numRef>
          </c:yVal>
          <c:smooth val="0"/>
          <c:extLst>
            <c:ext xmlns:c16="http://schemas.microsoft.com/office/drawing/2014/chart" uri="{C3380CC4-5D6E-409C-BE32-E72D297353CC}">
              <c16:uniqueId val="{00000000-AE57-4DBE-8819-2BF22E5C2E0F}"/>
            </c:ext>
          </c:extLst>
        </c:ser>
        <c:dLbls>
          <c:showLegendKey val="0"/>
          <c:showVal val="0"/>
          <c:showCatName val="0"/>
          <c:showSerName val="0"/>
          <c:showPercent val="0"/>
          <c:showBubbleSize val="0"/>
        </c:dLbls>
        <c:axId val="190916480"/>
        <c:axId val="190918016"/>
      </c:scatterChart>
      <c:valAx>
        <c:axId val="19091648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918016"/>
        <c:crosses val="autoZero"/>
        <c:crossBetween val="midCat"/>
      </c:valAx>
      <c:valAx>
        <c:axId val="19091801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91648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v>Aporte a la incertidumbre</c:v>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('RT03-F11 %'!$B$89:$C$90,'RT03-F11 %'!$B$93:$C$95,'RT03-F11 %'!$B$98:$C$101,'RT03-F11 %'!$B$103:$C$106,'RT03-F11 %'!$B$108:$C$112,'RT03-F11 %'!$B$115:$C$118)</c:f>
              <c:strCache>
                <c:ptCount val="22"/>
                <c:pt idx="0">
                  <c:v>Calibración </c:v>
                </c:pt>
                <c:pt idx="1">
                  <c:v>Deriva</c:v>
                </c:pt>
                <c:pt idx="2">
                  <c:v>Calibración  " IP "</c:v>
                </c:pt>
                <c:pt idx="3">
                  <c:v>Resolución    " IP "</c:v>
                </c:pt>
                <c:pt idx="4">
                  <c:v>Deriva  " IP "</c:v>
                </c:pt>
                <c:pt idx="5">
                  <c:v>Resolución termómetro</c:v>
                </c:pt>
                <c:pt idx="6">
                  <c:v>Calibración</c:v>
                </c:pt>
                <c:pt idx="7">
                  <c:v>Deriva</c:v>
                </c:pt>
                <c:pt idx="8">
                  <c:v>Inhomogenidad</c:v>
                </c:pt>
                <c:pt idx="9">
                  <c:v>Resolución termómetro</c:v>
                </c:pt>
                <c:pt idx="10">
                  <c:v>Calibración</c:v>
                </c:pt>
                <c:pt idx="11">
                  <c:v>Deriva</c:v>
                </c:pt>
                <c:pt idx="12">
                  <c:v>Inhomogenidad</c:v>
                </c:pt>
                <c:pt idx="13">
                  <c:v>Coeficiente cúbico de expansión térmico del Agua</c:v>
                </c:pt>
                <c:pt idx="14">
                  <c:v>Coeficiente cúbico de expansión térmico del material</c:v>
                </c:pt>
                <c:pt idx="15">
                  <c:v>Coeficiente cúbico de expansión térmico del material</c:v>
                </c:pt>
                <c:pt idx="16">
                  <c:v>Coeficiente cúbico de expansión térmico del material</c:v>
                </c:pt>
                <c:pt idx="17">
                  <c:v>Incertidumbre por repetibilidad del método</c:v>
                </c:pt>
                <c:pt idx="18">
                  <c:v>Lectura del menisco RVP  </c:v>
                </c:pt>
                <c:pt idx="19">
                  <c:v>Lectura del menisco RVC  </c:v>
                </c:pt>
                <c:pt idx="20">
                  <c:v>Delta por repetibilidad</c:v>
                </c:pt>
                <c:pt idx="21">
                  <c:v>Delta de adicionales</c:v>
                </c:pt>
              </c:strCache>
            </c:strRef>
          </c:cat>
          <c:val>
            <c:numRef>
              <c:f>('Después de ajuste %'!$R$89:$R$90,'Después de ajuste %'!$R$98:$R$101,'Después de ajuste %'!$R$103:$R$106,'Después de ajuste %'!$R$108:$R$112,'Después de ajuste %'!$R$115:$R$118)</c:f>
              <c:numCache>
                <c:formatCode>General</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val>
          <c:extLst>
            <c:ext xmlns:c16="http://schemas.microsoft.com/office/drawing/2014/chart" uri="{C3380CC4-5D6E-409C-BE32-E72D297353CC}">
              <c16:uniqueId val="{00000000-0758-460C-81FC-B2491CD9260D}"/>
            </c:ext>
          </c:extLst>
        </c:ser>
        <c:dLbls>
          <c:dLblPos val="inEnd"/>
          <c:showLegendKey val="0"/>
          <c:showVal val="1"/>
          <c:showCatName val="0"/>
          <c:showSerName val="0"/>
          <c:showPercent val="0"/>
          <c:showBubbleSize val="0"/>
        </c:dLbls>
        <c:gapWidth val="65"/>
        <c:axId val="191048704"/>
        <c:axId val="191051648"/>
      </c:barChart>
      <c:catAx>
        <c:axId val="19104870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191051648"/>
        <c:crosses val="autoZero"/>
        <c:auto val="1"/>
        <c:lblAlgn val="ctr"/>
        <c:lblOffset val="100"/>
        <c:noMultiLvlLbl val="0"/>
      </c:catAx>
      <c:valAx>
        <c:axId val="19105164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191048704"/>
        <c:crosses val="autoZero"/>
        <c:crossBetween val="between"/>
      </c:valAx>
      <c:spPr>
        <a:noFill/>
        <a:ln>
          <a:no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%'!$A$67</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%'!$F$67:$F$69</c:f>
              <c:numCache>
                <c:formatCode>General</c:formatCode>
                <c:ptCount val="3"/>
                <c:pt idx="0" formatCode="0.0">
                  <c:v>15.3</c:v>
                </c:pt>
                <c:pt idx="1">
                  <c:v>24.5</c:v>
                </c:pt>
                <c:pt idx="2">
                  <c:v>29.5</c:v>
                </c:pt>
              </c:numCache>
            </c:numRef>
          </c:xVal>
          <c:yVal>
            <c:numRef>
              <c:f>'DATOS %'!$H$67:$H$69</c:f>
              <c:numCache>
                <c:formatCode>General</c:formatCode>
                <c:ptCount val="3"/>
                <c:pt idx="0">
                  <c:v>-0.1</c:v>
                </c:pt>
                <c:pt idx="1">
                  <c:v>0.3</c:v>
                </c:pt>
                <c:pt idx="2">
                  <c:v>0.2</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85522048"/>
        <c:axId val="132781568"/>
      </c:scatterChart>
      <c:valAx>
        <c:axId val="18552204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32781568"/>
        <c:crosses val="autoZero"/>
        <c:crossBetween val="midCat"/>
      </c:valAx>
      <c:valAx>
        <c:axId val="13278156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52204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r>
              <a:rPr lang="es-CO" b="1"/>
              <a:t>Probabilidad de Conformidad y no Conformidad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'Pc %'!$B$3</c:f>
              <c:strCache>
                <c:ptCount val="1"/>
                <c:pt idx="0">
                  <c:v>TU (EMP + (mL))</c:v>
                </c:pt>
              </c:strCache>
            </c:strRef>
          </c:tx>
          <c:spPr>
            <a:ln w="22225" cap="rnd">
              <a:solidFill>
                <a:srgbClr val="FF0000"/>
              </a:solidFill>
              <a:round/>
            </a:ln>
            <a:effectLst/>
          </c:spPr>
          <c:marker>
            <c:symbol val="none"/>
          </c:marker>
          <c:cat>
            <c:strRef>
              <c:f>'Pc %'!$A$4:$A$8</c:f>
              <c:strCache>
                <c:ptCount val="5"/>
                <c:pt idx="0">
                  <c:v>1</c:v>
                </c:pt>
                <c:pt idx="1">
                  <c:v>Antes de ajuste</c:v>
                </c:pt>
                <c:pt idx="2">
                  <c:v>Después de ajuste</c:v>
                </c:pt>
                <c:pt idx="3">
                  <c:v>3</c:v>
                </c:pt>
                <c:pt idx="4">
                  <c:v>4</c:v>
                </c:pt>
              </c:strCache>
            </c:strRef>
          </c:cat>
          <c:val>
            <c:numRef>
              <c:f>'Pc %'!$B$4:$B$8</c:f>
              <c:numCache>
                <c:formatCode>0.0</c:formatCode>
                <c:ptCount val="5"/>
                <c:pt idx="0">
                  <c:v>9.4635300000000004</c:v>
                </c:pt>
                <c:pt idx="1">
                  <c:v>9.4635300000000004</c:v>
                </c:pt>
                <c:pt idx="2">
                  <c:v>9.4635300000000004</c:v>
                </c:pt>
                <c:pt idx="3">
                  <c:v>9.4635300000000004</c:v>
                </c:pt>
                <c:pt idx="4">
                  <c:v>9.4635300000000004</c:v>
                </c:pt>
              </c:numCache>
            </c:numRef>
          </c:val>
          <c:smooth val="0"/>
          <c:extLst>
            <c:ext xmlns:c16="http://schemas.microsoft.com/office/drawing/2014/chart" uri="{C3380CC4-5D6E-409C-BE32-E72D297353CC}">
              <c16:uniqueId val="{00000000-88E6-47F5-85D4-1AB2F91DFFC0}"/>
            </c:ext>
          </c:extLst>
        </c:ser>
        <c:ser>
          <c:idx val="1"/>
          <c:order val="1"/>
          <c:tx>
            <c:strRef>
              <c:f>'Pc %'!$C$3</c:f>
              <c:strCache>
                <c:ptCount val="1"/>
                <c:pt idx="0">
                  <c:v>TL (EMP - (mL))</c:v>
                </c:pt>
              </c:strCache>
            </c:strRef>
          </c:tx>
          <c:spPr>
            <a:ln w="22225" cap="rnd">
              <a:solidFill>
                <a:srgbClr val="FF0000"/>
              </a:solidFill>
              <a:round/>
            </a:ln>
            <a:effectLst/>
          </c:spPr>
          <c:marker>
            <c:symbol val="none"/>
          </c:marker>
          <c:val>
            <c:numRef>
              <c:f>'Pc %'!$C$4:$C$8</c:f>
              <c:numCache>
                <c:formatCode>0.0</c:formatCode>
                <c:ptCount val="5"/>
                <c:pt idx="0">
                  <c:v>-9.4635300000000004</c:v>
                </c:pt>
                <c:pt idx="1">
                  <c:v>-9.4635300000000004</c:v>
                </c:pt>
                <c:pt idx="2">
                  <c:v>-9.4635300000000004</c:v>
                </c:pt>
                <c:pt idx="3">
                  <c:v>-9.4635300000000004</c:v>
                </c:pt>
                <c:pt idx="4">
                  <c:v>-9.4635300000000004</c:v>
                </c:pt>
              </c:numCache>
            </c:numRef>
          </c:val>
          <c:smooth val="0"/>
          <c:extLst>
            <c:ext xmlns:c16="http://schemas.microsoft.com/office/drawing/2014/chart" uri="{C3380CC4-5D6E-409C-BE32-E72D297353CC}">
              <c16:uniqueId val="{00000002-88E6-47F5-85D4-1AB2F91DFFC0}"/>
            </c:ext>
          </c:extLst>
        </c:ser>
        <c:ser>
          <c:idx val="2"/>
          <c:order val="2"/>
          <c:tx>
            <c:strRef>
              <c:f>'Pc %'!$D$3</c:f>
              <c:strCache>
                <c:ptCount val="1"/>
                <c:pt idx="0">
                  <c:v>Volumen nominal</c:v>
                </c:pt>
              </c:strCache>
            </c:strRef>
          </c:tx>
          <c:spPr>
            <a:ln w="19050" cap="rnd">
              <a:solidFill>
                <a:srgbClr val="00B050"/>
              </a:solidFill>
              <a:round/>
            </a:ln>
            <a:effectLst/>
          </c:spPr>
          <c:marker>
            <c:symbol val="none"/>
          </c:marker>
          <c:val>
            <c:numRef>
              <c:f>'Pc %'!$D$4:$D$8</c:f>
              <c:numCache>
                <c:formatCode>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3-88E6-47F5-85D4-1AB2F91DFFC0}"/>
            </c:ext>
          </c:extLst>
        </c:ser>
        <c:ser>
          <c:idx val="3"/>
          <c:order val="3"/>
          <c:tx>
            <c:strRef>
              <c:f>'Pc %'!$E$3</c:f>
              <c:strCache>
                <c:ptCount val="1"/>
                <c:pt idx="0">
                  <c:v>Error indicación (mL)</c:v>
                </c:pt>
              </c:strCache>
            </c:strRef>
          </c:tx>
          <c:spPr>
            <a:ln w="19050" cap="rnd">
              <a:noFill/>
              <a:round/>
            </a:ln>
            <a:effectLst/>
          </c:spPr>
          <c:marker>
            <c:symbol val="circle"/>
            <c:size val="5"/>
            <c:spPr>
              <a:solidFill>
                <a:schemeClr val="tx1"/>
              </a:solidFill>
              <a:ln w="9525">
                <a:solidFill>
                  <a:schemeClr val="tx1"/>
                </a:solidFill>
              </a:ln>
              <a:effectLst/>
            </c:spPr>
          </c:marker>
          <c:errBars>
            <c:errDir val="y"/>
            <c:errBarType val="both"/>
            <c:errValType val="cust"/>
            <c:noEndCap val="0"/>
            <c:plus>
              <c:numRef>
                <c:f>'Pc %'!$F$4:$F$8</c:f>
                <c:numCache>
                  <c:formatCode>General</c:formatCode>
                  <c:ptCount val="5"/>
                  <c:pt idx="1">
                    <c:v>#N/A</c:v>
                  </c:pt>
                  <c:pt idx="2">
                    <c:v>#N/A</c:v>
                  </c:pt>
                </c:numCache>
              </c:numRef>
            </c:plus>
            <c:minus>
              <c:numRef>
                <c:f>'Pc %'!$F$4:$F$8</c:f>
                <c:numCache>
                  <c:formatCode>General</c:formatCode>
                  <c:ptCount val="5"/>
                  <c:pt idx="1">
                    <c:v>#N/A</c:v>
                  </c:pt>
                  <c:pt idx="2">
                    <c:v>#N/A</c:v>
                  </c:pt>
                </c:numCache>
              </c:numRef>
            </c:minus>
            <c:spPr>
              <a:noFill/>
              <a:ln w="9525" cap="flat" cmpd="sng" algn="ctr">
                <a:solidFill>
                  <a:schemeClr val="tx1">
                    <a:lumMod val="65000"/>
                    <a:lumOff val="35000"/>
                  </a:schemeClr>
                </a:solidFill>
                <a:round/>
              </a:ln>
              <a:effectLst/>
            </c:spPr>
          </c:errBars>
          <c:val>
            <c:numRef>
              <c:f>'Pc %'!$E$4:$E$8</c:f>
              <c:numCache>
                <c:formatCode>0.00</c:formatCode>
                <c:ptCount val="5"/>
                <c:pt idx="1">
                  <c:v>#N/A</c:v>
                </c:pt>
                <c:pt idx="2">
                  <c:v>#N/A</c:v>
                </c:pt>
              </c:numCache>
            </c:numRef>
          </c:val>
          <c:smooth val="0"/>
          <c:extLst>
            <c:ext xmlns:c16="http://schemas.microsoft.com/office/drawing/2014/chart" uri="{C3380CC4-5D6E-409C-BE32-E72D297353CC}">
              <c16:uniqueId val="{00000004-88E6-47F5-85D4-1AB2F91DFFC0}"/>
            </c:ext>
          </c:extLst>
        </c:ser>
        <c:dLbls>
          <c:showLegendKey val="0"/>
          <c:showVal val="0"/>
          <c:showCatName val="0"/>
          <c:showSerName val="0"/>
          <c:showPercent val="0"/>
          <c:showBubbleSize val="0"/>
        </c:dLbls>
        <c:smooth val="0"/>
        <c:axId val="191211392"/>
        <c:axId val="191212928"/>
      </c:lineChart>
      <c:catAx>
        <c:axId val="1912113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1212928"/>
        <c:crosses val="autoZero"/>
        <c:auto val="1"/>
        <c:lblAlgn val="ctr"/>
        <c:lblOffset val="100"/>
        <c:noMultiLvlLbl val="0"/>
      </c:catAx>
      <c:valAx>
        <c:axId val="191212928"/>
        <c:scaling>
          <c:orientation val="minMax"/>
          <c:min val="-15.0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121139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dk1"/>
                </a:solidFill>
                <a:latin typeface="+mn-lt"/>
                <a:ea typeface="+mn-ea"/>
                <a:cs typeface="+mn-cs"/>
              </a:defRPr>
            </a:pPr>
            <a:endParaRPr lang="es-CO"/>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25400" cap="flat" cmpd="sng" algn="ctr">
      <a:solidFill>
        <a:schemeClr val="dk1"/>
      </a:solidFill>
      <a:prstDash val="solid"/>
      <a:round/>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%'!$A$70</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%'!$F$70:$F$72</c:f>
              <c:numCache>
                <c:formatCode>General</c:formatCode>
                <c:ptCount val="3"/>
                <c:pt idx="0">
                  <c:v>32.4</c:v>
                </c:pt>
                <c:pt idx="1">
                  <c:v>50.2</c:v>
                </c:pt>
                <c:pt idx="2">
                  <c:v>76.099999999999994</c:v>
                </c:pt>
              </c:numCache>
            </c:numRef>
          </c:xVal>
          <c:yVal>
            <c:numRef>
              <c:f>'DATOS %'!$H$70:$H$72</c:f>
              <c:numCache>
                <c:formatCode>#,##0.0</c:formatCode>
                <c:ptCount val="3"/>
                <c:pt idx="0">
                  <c:v>-2.4</c:v>
                </c:pt>
                <c:pt idx="1">
                  <c:v>-0.2</c:v>
                </c:pt>
                <c:pt idx="2">
                  <c:v>3.9</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32840832"/>
        <c:axId val="185537664"/>
      </c:scatterChart>
      <c:valAx>
        <c:axId val="13284083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537664"/>
        <c:crosses val="autoZero"/>
        <c:crossBetween val="midCat"/>
      </c:valAx>
      <c:valAx>
        <c:axId val="18553766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3284083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%'!$A$73</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%'!$F$73:$F$75</c:f>
              <c:numCache>
                <c:formatCode>0.000</c:formatCode>
                <c:ptCount val="3"/>
                <c:pt idx="0">
                  <c:v>397.70400000000001</c:v>
                </c:pt>
                <c:pt idx="1">
                  <c:v>752.71299999999997</c:v>
                </c:pt>
                <c:pt idx="2">
                  <c:v>1098.79</c:v>
                </c:pt>
              </c:numCache>
            </c:numRef>
          </c:xVal>
          <c:yVal>
            <c:numRef>
              <c:f>'DATOS %'!$H$73:$H$75</c:f>
              <c:numCache>
                <c:formatCode>#,##0.00</c:formatCode>
                <c:ptCount val="3"/>
                <c:pt idx="0">
                  <c:v>2.25</c:v>
                </c:pt>
                <c:pt idx="1">
                  <c:v>1.0549999999999999</c:v>
                </c:pt>
                <c:pt idx="2">
                  <c:v>0.84</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85596544"/>
        <c:axId val="185606528"/>
      </c:scatterChart>
      <c:valAx>
        <c:axId val="18559654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606528"/>
        <c:crosses val="autoZero"/>
        <c:crossBetween val="midCat"/>
      </c:valAx>
      <c:valAx>
        <c:axId val="18560652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59654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%'!$A$78</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%'!$F$78:$F$80</c:f>
              <c:numCache>
                <c:formatCode>General</c:formatCode>
                <c:ptCount val="3"/>
                <c:pt idx="0" formatCode="0.0">
                  <c:v>15.3</c:v>
                </c:pt>
                <c:pt idx="1">
                  <c:v>24.8</c:v>
                </c:pt>
                <c:pt idx="2">
                  <c:v>29.6</c:v>
                </c:pt>
              </c:numCache>
            </c:numRef>
          </c:xVal>
          <c:yVal>
            <c:numRef>
              <c:f>'DATOS %'!$H$78:$H$80</c:f>
              <c:numCache>
                <c:formatCode>0.0</c:formatCode>
                <c:ptCount val="3"/>
                <c:pt idx="0">
                  <c:v>-0.1</c:v>
                </c:pt>
                <c:pt idx="1">
                  <c:v>0</c:v>
                </c:pt>
                <c:pt idx="2" formatCode="General">
                  <c:v>0.1</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85640832"/>
        <c:axId val="185642368"/>
      </c:scatterChart>
      <c:valAx>
        <c:axId val="18564083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642368"/>
        <c:crosses val="autoZero"/>
        <c:crossBetween val="midCat"/>
      </c:valAx>
      <c:valAx>
        <c:axId val="18564236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64083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%'!$A$81</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%'!$F$81:$F$83</c:f>
              <c:numCache>
                <c:formatCode>General</c:formatCode>
                <c:ptCount val="3"/>
                <c:pt idx="0">
                  <c:v>32.299999999999997</c:v>
                </c:pt>
                <c:pt idx="1">
                  <c:v>50.6</c:v>
                </c:pt>
                <c:pt idx="2">
                  <c:v>68.599999999999994</c:v>
                </c:pt>
              </c:numCache>
            </c:numRef>
          </c:xVal>
          <c:yVal>
            <c:numRef>
              <c:f>'DATOS %'!$H$81:$H$83</c:f>
              <c:numCache>
                <c:formatCode>General</c:formatCode>
                <c:ptCount val="3"/>
                <c:pt idx="0">
                  <c:v>-2.2999999999999998</c:v>
                </c:pt>
                <c:pt idx="1">
                  <c:v>-0.6</c:v>
                </c:pt>
                <c:pt idx="2">
                  <c:v>1.4</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85832576"/>
        <c:axId val="185834112"/>
      </c:scatterChart>
      <c:valAx>
        <c:axId val="18583257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834112"/>
        <c:crosses val="autoZero"/>
        <c:crossBetween val="midCat"/>
      </c:valAx>
      <c:valAx>
        <c:axId val="18583411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83257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%'!$A$84</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%'!$F$84:$F$86</c:f>
              <c:numCache>
                <c:formatCode>General</c:formatCode>
                <c:ptCount val="3"/>
                <c:pt idx="0" formatCode="0.0">
                  <c:v>397.74599999999998</c:v>
                </c:pt>
                <c:pt idx="1">
                  <c:v>752.61900000000003</c:v>
                </c:pt>
                <c:pt idx="2">
                  <c:v>1098.8340000000001</c:v>
                </c:pt>
              </c:numCache>
            </c:numRef>
          </c:xVal>
          <c:yVal>
            <c:numRef>
              <c:f>'DATOS %'!$H$84:$H$86</c:f>
              <c:numCache>
                <c:formatCode>0.000</c:formatCode>
                <c:ptCount val="3"/>
                <c:pt idx="0" formatCode="0.00">
                  <c:v>2.33</c:v>
                </c:pt>
                <c:pt idx="1">
                  <c:v>0.99099999999999999</c:v>
                </c:pt>
                <c:pt idx="2" formatCode="0.00">
                  <c:v>0.74</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85748096"/>
        <c:axId val="185753984"/>
      </c:scatterChart>
      <c:valAx>
        <c:axId val="18574809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753984"/>
        <c:crosses val="autoZero"/>
        <c:crossBetween val="midCat"/>
      </c:valAx>
      <c:valAx>
        <c:axId val="18575398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74809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9.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4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image" Target="../media/image1.png"/><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20.xml"/><Relationship Id="rId7" Type="http://schemas.openxmlformats.org/officeDocument/2006/relationships/image" Target="../media/image2.png"/><Relationship Id="rId2" Type="http://schemas.openxmlformats.org/officeDocument/2006/relationships/chart" Target="../charts/chart19.xml"/><Relationship Id="rId1" Type="http://schemas.openxmlformats.org/officeDocument/2006/relationships/chart" Target="../charts/chart18.xml"/><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1.xml"/><Relationship Id="rId13" Type="http://schemas.openxmlformats.org/officeDocument/2006/relationships/chart" Target="../charts/chart36.xml"/><Relationship Id="rId3" Type="http://schemas.openxmlformats.org/officeDocument/2006/relationships/chart" Target="../charts/chart26.xml"/><Relationship Id="rId7" Type="http://schemas.openxmlformats.org/officeDocument/2006/relationships/chart" Target="../charts/chart30.xml"/><Relationship Id="rId12" Type="http://schemas.openxmlformats.org/officeDocument/2006/relationships/chart" Target="../charts/chart35.xml"/><Relationship Id="rId17" Type="http://schemas.openxmlformats.org/officeDocument/2006/relationships/image" Target="../media/image3.png"/><Relationship Id="rId2" Type="http://schemas.openxmlformats.org/officeDocument/2006/relationships/chart" Target="../charts/chart25.xml"/><Relationship Id="rId16" Type="http://schemas.openxmlformats.org/officeDocument/2006/relationships/chart" Target="../charts/chart39.xml"/><Relationship Id="rId1" Type="http://schemas.openxmlformats.org/officeDocument/2006/relationships/chart" Target="../charts/chart24.xml"/><Relationship Id="rId6" Type="http://schemas.openxmlformats.org/officeDocument/2006/relationships/chart" Target="../charts/chart29.xml"/><Relationship Id="rId11" Type="http://schemas.openxmlformats.org/officeDocument/2006/relationships/chart" Target="../charts/chart34.xml"/><Relationship Id="rId5" Type="http://schemas.openxmlformats.org/officeDocument/2006/relationships/chart" Target="../charts/chart28.xml"/><Relationship Id="rId15" Type="http://schemas.openxmlformats.org/officeDocument/2006/relationships/chart" Target="../charts/chart38.xml"/><Relationship Id="rId10" Type="http://schemas.openxmlformats.org/officeDocument/2006/relationships/chart" Target="../charts/chart33.xml"/><Relationship Id="rId4" Type="http://schemas.openxmlformats.org/officeDocument/2006/relationships/chart" Target="../charts/chart27.xml"/><Relationship Id="rId9" Type="http://schemas.openxmlformats.org/officeDocument/2006/relationships/chart" Target="../charts/chart32.xml"/><Relationship Id="rId14" Type="http://schemas.openxmlformats.org/officeDocument/2006/relationships/chart" Target="../charts/chart37.xml"/></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image" Target="../media/image5.png"/><Relationship Id="rId7" Type="http://schemas.openxmlformats.org/officeDocument/2006/relationships/chart" Target="../charts/chart40.xml"/><Relationship Id="rId2" Type="http://schemas.microsoft.com/office/2007/relationships/hdphoto" Target="../media/hdphoto1.wdp"/><Relationship Id="rId1" Type="http://schemas.openxmlformats.org/officeDocument/2006/relationships/image" Target="../media/image4.png"/><Relationship Id="rId6" Type="http://schemas.microsoft.com/office/2007/relationships/hdphoto" Target="../media/hdphoto3.wdp"/><Relationship Id="rId5" Type="http://schemas.openxmlformats.org/officeDocument/2006/relationships/image" Target="../media/image6.png"/><Relationship Id="rId4" Type="http://schemas.microsoft.com/office/2007/relationships/hdphoto" Target="../media/hdphoto2.wdp"/></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9.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14</xdr:col>
      <xdr:colOff>88447</xdr:colOff>
      <xdr:row>59</xdr:row>
      <xdr:rowOff>222250</xdr:rowOff>
    </xdr:from>
    <xdr:to>
      <xdr:col>15</xdr:col>
      <xdr:colOff>1016000</xdr:colOff>
      <xdr:row>63</xdr:row>
      <xdr:rowOff>63500</xdr:rowOff>
    </xdr:to>
    <xdr:graphicFrame macro="">
      <xdr:nvGraphicFramePr>
        <xdr:cNvPr id="4" name="Gráfico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24947</xdr:colOff>
      <xdr:row>59</xdr:row>
      <xdr:rowOff>222250</xdr:rowOff>
    </xdr:from>
    <xdr:to>
      <xdr:col>17</xdr:col>
      <xdr:colOff>889000</xdr:colOff>
      <xdr:row>63</xdr:row>
      <xdr:rowOff>15875</xdr:rowOff>
    </xdr:to>
    <xdr:graphicFrame macro="">
      <xdr:nvGraphicFramePr>
        <xdr:cNvPr id="6" name="Gráfico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1090840</xdr:colOff>
      <xdr:row>59</xdr:row>
      <xdr:rowOff>238125</xdr:rowOff>
    </xdr:from>
    <xdr:to>
      <xdr:col>19</xdr:col>
      <xdr:colOff>904876</xdr:colOff>
      <xdr:row>62</xdr:row>
      <xdr:rowOff>374197</xdr:rowOff>
    </xdr:to>
    <xdr:graphicFrame macro="">
      <xdr:nvGraphicFramePr>
        <xdr:cNvPr id="7" name="Gráfico 6">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43089</xdr:colOff>
      <xdr:row>69</xdr:row>
      <xdr:rowOff>111124</xdr:rowOff>
    </xdr:from>
    <xdr:to>
      <xdr:col>15</xdr:col>
      <xdr:colOff>1016001</xdr:colOff>
      <xdr:row>72</xdr:row>
      <xdr:rowOff>208643</xdr:rowOff>
    </xdr:to>
    <xdr:graphicFrame macro="">
      <xdr:nvGraphicFramePr>
        <xdr:cNvPr id="9" name="Gráfico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88448</xdr:colOff>
      <xdr:row>69</xdr:row>
      <xdr:rowOff>111124</xdr:rowOff>
    </xdr:from>
    <xdr:to>
      <xdr:col>17</xdr:col>
      <xdr:colOff>904876</xdr:colOff>
      <xdr:row>72</xdr:row>
      <xdr:rowOff>238125</xdr:rowOff>
    </xdr:to>
    <xdr:graphicFrame macro="">
      <xdr:nvGraphicFramePr>
        <xdr:cNvPr id="10" name="Gráfico 9">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1059090</xdr:colOff>
      <xdr:row>69</xdr:row>
      <xdr:rowOff>111125</xdr:rowOff>
    </xdr:from>
    <xdr:to>
      <xdr:col>19</xdr:col>
      <xdr:colOff>984250</xdr:colOff>
      <xdr:row>72</xdr:row>
      <xdr:rowOff>222250</xdr:rowOff>
    </xdr:to>
    <xdr:graphicFrame macro="">
      <xdr:nvGraphicFramePr>
        <xdr:cNvPr id="11" name="Gráfico 10">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90714</xdr:colOff>
      <xdr:row>80</xdr:row>
      <xdr:rowOff>190500</xdr:rowOff>
    </xdr:from>
    <xdr:to>
      <xdr:col>15</xdr:col>
      <xdr:colOff>1095375</xdr:colOff>
      <xdr:row>83</xdr:row>
      <xdr:rowOff>260804</xdr:rowOff>
    </xdr:to>
    <xdr:graphicFrame macro="">
      <xdr:nvGraphicFramePr>
        <xdr:cNvPr id="13" name="Gráfico 12">
          <a:extLst>
            <a:ext uri="{FF2B5EF4-FFF2-40B4-BE49-F238E27FC236}">
              <a16:creationId xmlns:a16="http://schemas.microsoft.com/office/drawing/2014/main" id="{00000000-0008-0000-0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70304</xdr:colOff>
      <xdr:row>80</xdr:row>
      <xdr:rowOff>190499</xdr:rowOff>
    </xdr:from>
    <xdr:to>
      <xdr:col>17</xdr:col>
      <xdr:colOff>1063625</xdr:colOff>
      <xdr:row>83</xdr:row>
      <xdr:rowOff>249464</xdr:rowOff>
    </xdr:to>
    <xdr:graphicFrame macro="">
      <xdr:nvGraphicFramePr>
        <xdr:cNvPr id="15" name="Gráfico 14">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117929</xdr:colOff>
      <xdr:row>80</xdr:row>
      <xdr:rowOff>127000</xdr:rowOff>
    </xdr:from>
    <xdr:to>
      <xdr:col>19</xdr:col>
      <xdr:colOff>984250</xdr:colOff>
      <xdr:row>83</xdr:row>
      <xdr:rowOff>269875</xdr:rowOff>
    </xdr:to>
    <xdr:graphicFrame macro="">
      <xdr:nvGraphicFramePr>
        <xdr:cNvPr id="16" name="Gráfico 15">
          <a:extLst>
            <a:ext uri="{FF2B5EF4-FFF2-40B4-BE49-F238E27FC236}">
              <a16:creationId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61233</xdr:colOff>
      <xdr:row>91</xdr:row>
      <xdr:rowOff>126999</xdr:rowOff>
    </xdr:from>
    <xdr:to>
      <xdr:col>15</xdr:col>
      <xdr:colOff>1047751</xdr:colOff>
      <xdr:row>94</xdr:row>
      <xdr:rowOff>242660</xdr:rowOff>
    </xdr:to>
    <xdr:graphicFrame macro="">
      <xdr:nvGraphicFramePr>
        <xdr:cNvPr id="17" name="Gráfico 16">
          <a:extLst>
            <a:ext uri="{FF2B5EF4-FFF2-40B4-BE49-F238E27FC236}">
              <a16:creationId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13608</xdr:colOff>
      <xdr:row>91</xdr:row>
      <xdr:rowOff>111125</xdr:rowOff>
    </xdr:from>
    <xdr:to>
      <xdr:col>17</xdr:col>
      <xdr:colOff>904875</xdr:colOff>
      <xdr:row>94</xdr:row>
      <xdr:rowOff>242661</xdr:rowOff>
    </xdr:to>
    <xdr:graphicFrame macro="">
      <xdr:nvGraphicFramePr>
        <xdr:cNvPr id="18" name="Gráfico 17">
          <a:extLst>
            <a:ext uri="{FF2B5EF4-FFF2-40B4-BE49-F238E27FC236}">
              <a16:creationId xmlns:a16="http://schemas.microsoft.com/office/drawing/2014/main"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1047750</xdr:colOff>
      <xdr:row>91</xdr:row>
      <xdr:rowOff>127000</xdr:rowOff>
    </xdr:from>
    <xdr:to>
      <xdr:col>19</xdr:col>
      <xdr:colOff>904875</xdr:colOff>
      <xdr:row>94</xdr:row>
      <xdr:rowOff>276679</xdr:rowOff>
    </xdr:to>
    <xdr:graphicFrame macro="">
      <xdr:nvGraphicFramePr>
        <xdr:cNvPr id="19" name="Gráfico 18">
          <a:extLst>
            <a:ext uri="{FF2B5EF4-FFF2-40B4-BE49-F238E27FC236}">
              <a16:creationId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83911</xdr:colOff>
      <xdr:row>102</xdr:row>
      <xdr:rowOff>269874</xdr:rowOff>
    </xdr:from>
    <xdr:to>
      <xdr:col>16</xdr:col>
      <xdr:colOff>0</xdr:colOff>
      <xdr:row>106</xdr:row>
      <xdr:rowOff>11339</xdr:rowOff>
    </xdr:to>
    <xdr:graphicFrame macro="">
      <xdr:nvGraphicFramePr>
        <xdr:cNvPr id="20" name="Gráfico 19">
          <a:extLst>
            <a:ext uri="{FF2B5EF4-FFF2-40B4-BE49-F238E27FC236}">
              <a16:creationId xmlns:a16="http://schemas.microsoft.com/office/drawing/2014/main" id="{00000000-0008-0000-0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16</xdr:col>
      <xdr:colOff>117929</xdr:colOff>
      <xdr:row>102</xdr:row>
      <xdr:rowOff>269874</xdr:rowOff>
    </xdr:from>
    <xdr:to>
      <xdr:col>17</xdr:col>
      <xdr:colOff>1079500</xdr:colOff>
      <xdr:row>106</xdr:row>
      <xdr:rowOff>13607</xdr:rowOff>
    </xdr:to>
    <xdr:graphicFrame macro="">
      <xdr:nvGraphicFramePr>
        <xdr:cNvPr id="22" name="Gráfico 21">
          <a:extLst>
            <a:ext uri="{FF2B5EF4-FFF2-40B4-BE49-F238E27FC236}">
              <a16:creationId xmlns:a16="http://schemas.microsoft.com/office/drawing/2014/main" id="{00000000-0008-0000-0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18</xdr:col>
      <xdr:colOff>72573</xdr:colOff>
      <xdr:row>102</xdr:row>
      <xdr:rowOff>285750</xdr:rowOff>
    </xdr:from>
    <xdr:to>
      <xdr:col>19</xdr:col>
      <xdr:colOff>952501</xdr:colOff>
      <xdr:row>106</xdr:row>
      <xdr:rowOff>47626</xdr:rowOff>
    </xdr:to>
    <xdr:graphicFrame macro="">
      <xdr:nvGraphicFramePr>
        <xdr:cNvPr id="23" name="Gráfico 22">
          <a:extLst>
            <a:ext uri="{FF2B5EF4-FFF2-40B4-BE49-F238E27FC236}">
              <a16:creationId xmlns:a16="http://schemas.microsoft.com/office/drawing/2014/main"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18</xdr:col>
      <xdr:colOff>385160</xdr:colOff>
      <xdr:row>42</xdr:row>
      <xdr:rowOff>481542</xdr:rowOff>
    </xdr:from>
    <xdr:to>
      <xdr:col>21</xdr:col>
      <xdr:colOff>952500</xdr:colOff>
      <xdr:row>49</xdr:row>
      <xdr:rowOff>83343</xdr:rowOff>
    </xdr:to>
    <xdr:graphicFrame macro="">
      <xdr:nvGraphicFramePr>
        <xdr:cNvPr id="24" name="Gráfico 23">
          <a:extLst>
            <a:ext uri="{FF2B5EF4-FFF2-40B4-BE49-F238E27FC236}">
              <a16:creationId xmlns:a16="http://schemas.microsoft.com/office/drawing/2014/main" id="{00000000-0008-0000-0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18</xdr:col>
      <xdr:colOff>249845</xdr:colOff>
      <xdr:row>36</xdr:row>
      <xdr:rowOff>236237</xdr:rowOff>
    </xdr:from>
    <xdr:to>
      <xdr:col>21</xdr:col>
      <xdr:colOff>928689</xdr:colOff>
      <xdr:row>42</xdr:row>
      <xdr:rowOff>150814</xdr:rowOff>
    </xdr:to>
    <xdr:graphicFrame macro="">
      <xdr:nvGraphicFramePr>
        <xdr:cNvPr id="26" name="Gráfico 25">
          <a:extLst>
            <a:ext uri="{FF2B5EF4-FFF2-40B4-BE49-F238E27FC236}">
              <a16:creationId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0</xdr:col>
      <xdr:colOff>964407</xdr:colOff>
      <xdr:row>0</xdr:row>
      <xdr:rowOff>154782</xdr:rowOff>
    </xdr:from>
    <xdr:to>
      <xdr:col>2</xdr:col>
      <xdr:colOff>1000126</xdr:colOff>
      <xdr:row>0</xdr:row>
      <xdr:rowOff>1056650</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8"/>
        <a:stretch>
          <a:fillRect/>
        </a:stretch>
      </xdr:blipFill>
      <xdr:spPr>
        <a:xfrm>
          <a:off x="964407" y="154782"/>
          <a:ext cx="2131219" cy="90186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100-000003000000}"/>
                </a:ext>
              </a:extLst>
            </xdr:cNvPr>
            <xdr:cNvSpPr txBox="1"/>
          </xdr:nvSpPr>
          <xdr:spPr>
            <a:xfrm>
              <a:off x="5240864" y="23324383"/>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0200-000003000000}"/>
                </a:ext>
              </a:extLst>
            </xdr:cNvPr>
            <xdr:cNvSpPr txBox="1"/>
          </xdr:nvSpPr>
          <xdr:spPr>
            <a:xfrm>
              <a:off x="5240864" y="23324383"/>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100-00000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0200-00000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809580</xdr:colOff>
      <xdr:row>66</xdr:row>
      <xdr:rowOff>23476</xdr:rowOff>
    </xdr:from>
    <xdr:ext cx="1810415" cy="401066"/>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100-000005000000}"/>
                </a:ext>
              </a:extLst>
            </xdr:cNvPr>
            <xdr:cNvSpPr txBox="1"/>
          </xdr:nvSpPr>
          <xdr:spPr>
            <a:xfrm>
              <a:off x="8552044" y="27986155"/>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𝒕𝑹𝑺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𝜸</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0100-000005000000}"/>
                </a:ext>
              </a:extLst>
            </xdr:cNvPr>
            <xdr:cNvSpPr txBox="1"/>
          </xdr:nvSpPr>
          <xdr:spPr>
            <a:xfrm>
              <a:off x="8552044" y="27986155"/>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𝝏𝒕𝑹𝑺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𝜸</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−𝜷)]</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809481</xdr:colOff>
      <xdr:row>68</xdr:row>
      <xdr:rowOff>17691</xdr:rowOff>
    </xdr:from>
    <xdr:ext cx="1702892" cy="461594"/>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100-000006000000}"/>
                </a:ext>
              </a:extLst>
            </xdr:cNvPr>
            <xdr:cNvSpPr txBox="1"/>
          </xdr:nvSpPr>
          <xdr:spPr>
            <a:xfrm>
              <a:off x="8551945" y="28415798"/>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𝜸</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0100-000006000000}"/>
                </a:ext>
              </a:extLst>
            </xdr:cNvPr>
            <xdr:cNvSpPr txBox="1"/>
          </xdr:nvSpPr>
          <xdr:spPr>
            <a:xfrm>
              <a:off x="8551945" y="28415798"/>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latin typeface="Cambria Math" panose="02040503050406030204" pitchFamily="18" charset="0"/>
                  <a:ea typeface="Cambria Math" panose="02040503050406030204" pitchFamily="18" charset="0"/>
                </a:rPr>
                <a:t>𝜷−</a:t>
              </a:r>
              <a:r>
                <a:rPr lang="es-CO" sz="1100" b="1" i="0">
                  <a:solidFill>
                    <a:schemeClr val="tx1"/>
                  </a:solidFill>
                  <a:effectLst/>
                  <a:latin typeface="Cambria Math"/>
                  <a:ea typeface="+mn-ea"/>
                  <a:cs typeface="+mn-cs"/>
                </a:rPr>
                <a:t>𝜸</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691775</xdr:colOff>
      <xdr:row>71</xdr:row>
      <xdr:rowOff>12151</xdr:rowOff>
    </xdr:from>
    <xdr:ext cx="1894821" cy="444221"/>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100-000007000000}"/>
                </a:ext>
              </a:extLst>
            </xdr:cNvPr>
            <xdr:cNvSpPr txBox="1"/>
          </xdr:nvSpPr>
          <xdr:spPr>
            <a:xfrm>
              <a:off x="8434239" y="28900115"/>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CO" sz="1100" b="1" i="1" baseline="-25000">
                        <a:latin typeface="Cambria Math" panose="02040503050406030204" pitchFamily="18" charset="0"/>
                      </a:rPr>
                      <m:t>𝟎</m:t>
                    </m:r>
                    <m:r>
                      <a:rPr lang="es-CO" sz="1100" b="1" i="1" baseline="-25000">
                        <a:latin typeface="Cambria Math" panose="02040503050406030204" pitchFamily="18" charset="0"/>
                        <a:ea typeface="Cambria Math" panose="02040503050406030204" pitchFamily="18" charset="0"/>
                      </a:rPr>
                      <m:t>𝑹𝑺</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0100-000007000000}"/>
                </a:ext>
              </a:extLst>
            </xdr:cNvPr>
            <xdr:cNvSpPr txBox="1"/>
          </xdr:nvSpPr>
          <xdr:spPr>
            <a:xfrm>
              <a:off x="8434239" y="28900115"/>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CO" sz="1100" b="1" i="0" baseline="-25000">
                  <a:latin typeface="Cambria Math" panose="02040503050406030204" pitchFamily="18" charset="0"/>
                </a:rPr>
                <a:t>𝟎</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mn-lt"/>
                  <a:ea typeface="+mn-ea"/>
                  <a:cs typeface="+mn-cs"/>
                </a:rPr>
                <a:t>𝒕</a:t>
              </a:r>
              <a:r>
                <a:rPr lang="es-CO" sz="1100" b="1" i="0" baseline="-25000">
                  <a:solidFill>
                    <a:schemeClr val="tx1"/>
                  </a:solidFill>
                  <a:effectLst/>
                  <a:latin typeface="+mn-lt"/>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92399</xdr:colOff>
      <xdr:row>73</xdr:row>
      <xdr:rowOff>1361</xdr:rowOff>
    </xdr:from>
    <xdr:ext cx="3019556" cy="42079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100-000008000000}"/>
                </a:ext>
              </a:extLst>
            </xdr:cNvPr>
            <xdr:cNvSpPr txBox="1"/>
          </xdr:nvSpPr>
          <xdr:spPr>
            <a:xfrm>
              <a:off x="7834863" y="29324754"/>
              <a:ext cx="30195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MX" sz="1100" b="1" i="1" baseline="-25000">
                        <a:latin typeface="Cambria Math" panose="02040503050406030204" pitchFamily="18" charset="0"/>
                      </a:rPr>
                      <m:t>𝟎</m:t>
                    </m:r>
                    <m:r>
                      <a:rPr lang="es-MX" sz="1100" b="1" i="1" baseline="-25000">
                        <a:latin typeface="Cambria Math" panose="02040503050406030204" pitchFamily="18" charset="0"/>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0100-000008000000}"/>
                </a:ext>
              </a:extLst>
            </xdr:cNvPr>
            <xdr:cNvSpPr txBox="1"/>
          </xdr:nvSpPr>
          <xdr:spPr>
            <a:xfrm>
              <a:off x="7834863" y="29324754"/>
              <a:ext cx="30195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MX" sz="1100" b="1" i="0" baseline="-25000">
                  <a:latin typeface="Cambria Math" panose="02040503050406030204" pitchFamily="18" charset="0"/>
                </a:rPr>
                <a:t>𝟎𝑺𝑪𝑴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766083</xdr:colOff>
      <xdr:row>74</xdr:row>
      <xdr:rowOff>51641</xdr:rowOff>
    </xdr:from>
    <xdr:ext cx="2019300" cy="411878"/>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100-000009000000}"/>
                </a:ext>
              </a:extLst>
            </xdr:cNvPr>
            <xdr:cNvSpPr txBox="1"/>
          </xdr:nvSpPr>
          <xdr:spPr>
            <a:xfrm>
              <a:off x="8508547" y="2975603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𝝏𝜷</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0100-000009000000}"/>
                </a:ext>
              </a:extLst>
            </xdr:cNvPr>
            <xdr:cNvSpPr txBox="1"/>
          </xdr:nvSpPr>
          <xdr:spPr>
            <a:xfrm>
              <a:off x="8508547" y="2975603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𝝏𝜷</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376443</xdr:colOff>
      <xdr:row>77</xdr:row>
      <xdr:rowOff>1361</xdr:rowOff>
    </xdr:from>
    <xdr:ext cx="951614" cy="386655"/>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100-00000A000000}"/>
                </a:ext>
              </a:extLst>
            </xdr:cNvPr>
            <xdr:cNvSpPr txBox="1"/>
          </xdr:nvSpPr>
          <xdr:spPr>
            <a:xfrm>
              <a:off x="9289122" y="30195611"/>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𝑽𝒎𝒆𝒏</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0100-00000A000000}"/>
                </a:ext>
              </a:extLst>
            </xdr:cNvPr>
            <xdr:cNvSpPr txBox="1"/>
          </xdr:nvSpPr>
          <xdr:spPr>
            <a:xfrm>
              <a:off x="9289122" y="30195611"/>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𝝏𝜹𝑽𝒎𝒆𝒏</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305087</xdr:colOff>
      <xdr:row>79</xdr:row>
      <xdr:rowOff>35860</xdr:rowOff>
    </xdr:from>
    <xdr:ext cx="1115500" cy="395793"/>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100-00000B000000}"/>
                </a:ext>
              </a:extLst>
            </xdr:cNvPr>
            <xdr:cNvSpPr txBox="1"/>
          </xdr:nvSpPr>
          <xdr:spPr>
            <a:xfrm>
              <a:off x="9217766" y="3066553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𝑽𝒓𝒆𝒑</m:t>
                        </m:r>
                      </m:den>
                    </m:f>
                    <m:r>
                      <a:rPr lang="es-CO" sz="1100" b="1" i="1">
                        <a:latin typeface="Cambria Math" panose="02040503050406030204" pitchFamily="18" charset="0"/>
                      </a:rPr>
                      <m:t>= </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0100-00000B000000}"/>
                </a:ext>
              </a:extLst>
            </xdr:cNvPr>
            <xdr:cNvSpPr txBox="1"/>
          </xdr:nvSpPr>
          <xdr:spPr>
            <a:xfrm>
              <a:off x="9217766" y="3066553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𝝏𝜹𝑽𝒓𝒆𝒑</a:t>
              </a:r>
              <a:r>
                <a:rPr lang="es-CO" sz="1100" b="1" i="0">
                  <a:latin typeface="Cambria Math" panose="02040503050406030204" pitchFamily="18" charset="0"/>
                </a:rPr>
                <a:t>= 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358887</xdr:colOff>
      <xdr:row>81</xdr:row>
      <xdr:rowOff>5761</xdr:rowOff>
    </xdr:from>
    <xdr:ext cx="1111805" cy="392205"/>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100-00000C000000}"/>
                </a:ext>
              </a:extLst>
            </xdr:cNvPr>
            <xdr:cNvSpPr txBox="1"/>
          </xdr:nvSpPr>
          <xdr:spPr>
            <a:xfrm>
              <a:off x="9271566" y="31070868"/>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𝑽𝒂𝒅𝒅</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0100-00000C000000}"/>
                </a:ext>
              </a:extLst>
            </xdr:cNvPr>
            <xdr:cNvSpPr txBox="1"/>
          </xdr:nvSpPr>
          <xdr:spPr>
            <a:xfrm>
              <a:off x="9271566" y="31070868"/>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𝝏𝜹𝑽𝒂𝒅𝒅</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385920</xdr:colOff>
      <xdr:row>73</xdr:row>
      <xdr:rowOff>1989</xdr:rowOff>
    </xdr:from>
    <xdr:ext cx="240010" cy="333375"/>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100-00000D000000}"/>
                </a:ext>
              </a:extLst>
            </xdr:cNvPr>
            <xdr:cNvSpPr txBox="1"/>
          </xdr:nvSpPr>
          <xdr:spPr>
            <a:xfrm>
              <a:off x="12177870" y="27214914"/>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0200-00000D000000}"/>
                </a:ext>
              </a:extLst>
            </xdr:cNvPr>
            <xdr:cNvSpPr txBox="1"/>
          </xdr:nvSpPr>
          <xdr:spPr>
            <a:xfrm>
              <a:off x="12177870" y="27214914"/>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𝑹𝑺</a:t>
              </a:r>
              <a:endParaRPr lang="es-CO" sz="1400" b="1"/>
            </a:p>
          </xdr:txBody>
        </xdr:sp>
      </mc:Fallback>
    </mc:AlternateContent>
    <xdr:clientData/>
  </xdr:oneCellAnchor>
  <xdr:oneCellAnchor>
    <xdr:from>
      <xdr:col>13</xdr:col>
      <xdr:colOff>353366</xdr:colOff>
      <xdr:row>71</xdr:row>
      <xdr:rowOff>1</xdr:rowOff>
    </xdr:from>
    <xdr:ext cx="326991" cy="352320"/>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100-00000E000000}"/>
                </a:ext>
              </a:extLst>
            </xdr:cNvPr>
            <xdr:cNvSpPr txBox="1"/>
          </xdr:nvSpPr>
          <xdr:spPr>
            <a:xfrm>
              <a:off x="12145316" y="26774776"/>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rPr>
                          <m:t>𝒕</m:t>
                        </m:r>
                      </m:e>
                      <m:sub>
                        <m:r>
                          <a:rPr lang="es-CO" sz="1400" b="1" i="1" baseline="-25000">
                            <a:latin typeface="Cambria Math" panose="02040503050406030204" pitchFamily="18" charset="0"/>
                          </a:rPr>
                          <m:t>𝟎</m:t>
                        </m:r>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200-00000E000000}"/>
                </a:ext>
              </a:extLst>
            </xdr:cNvPr>
            <xdr:cNvSpPr txBox="1"/>
          </xdr:nvSpPr>
          <xdr:spPr>
            <a:xfrm>
              <a:off x="12145316" y="26774776"/>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rPr>
                <a:t>𝒕_</a:t>
              </a:r>
              <a:r>
                <a:rPr lang="es-CO" sz="1400" b="1" i="0" baseline="-25000">
                  <a:latin typeface="Cambria Math" panose="02040503050406030204" pitchFamily="18" charset="0"/>
                </a:rPr>
                <a:t>𝟎𝑹𝑺</a:t>
              </a:r>
              <a:endParaRPr lang="es-CO" sz="1400" b="1"/>
            </a:p>
          </xdr:txBody>
        </xdr:sp>
      </mc:Fallback>
    </mc:AlternateContent>
    <xdr:clientData/>
  </xdr:oneCellAnchor>
  <xdr:oneCellAnchor>
    <xdr:from>
      <xdr:col>13</xdr:col>
      <xdr:colOff>328244</xdr:colOff>
      <xdr:row>66</xdr:row>
      <xdr:rowOff>120894</xdr:rowOff>
    </xdr:from>
    <xdr:ext cx="229648" cy="355356"/>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100-00000F000000}"/>
                </a:ext>
              </a:extLst>
            </xdr:cNvPr>
            <xdr:cNvSpPr txBox="1"/>
          </xdr:nvSpPr>
          <xdr:spPr>
            <a:xfrm flipH="1">
              <a:off x="12120194" y="25895544"/>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200" b="1" i="1">
                            <a:latin typeface="Cambria Math" panose="02040503050406030204" pitchFamily="18" charset="0"/>
                          </a:rPr>
                        </m:ctrlPr>
                      </m:sSubPr>
                      <m:e>
                        <m:r>
                          <a:rPr lang="es-CO" sz="1200" b="1" i="1">
                            <a:latin typeface="Cambria Math" panose="02040503050406030204" pitchFamily="18" charset="0"/>
                            <a:ea typeface="Cambria Math" panose="02040503050406030204" pitchFamily="18" charset="0"/>
                          </a:rPr>
                          <m:t>𝒕</m:t>
                        </m:r>
                      </m:e>
                      <m:sub>
                        <m:r>
                          <a:rPr lang="es-CO" sz="1200" b="1" i="1" baseline="-25000">
                            <a:latin typeface="Cambria Math" panose="02040503050406030204" pitchFamily="18" charset="0"/>
                          </a:rPr>
                          <m:t>𝑹𝑺</m:t>
                        </m:r>
                      </m:sub>
                    </m:sSub>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0200-00000F000000}"/>
                </a:ext>
              </a:extLst>
            </xdr:cNvPr>
            <xdr:cNvSpPr txBox="1"/>
          </xdr:nvSpPr>
          <xdr:spPr>
            <a:xfrm flipH="1">
              <a:off x="12120194" y="25895544"/>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200" b="1" i="0">
                  <a:latin typeface="Cambria Math" panose="02040503050406030204" pitchFamily="18" charset="0"/>
                  <a:ea typeface="Cambria Math" panose="02040503050406030204" pitchFamily="18" charset="0"/>
                </a:rPr>
                <a:t>𝒕_</a:t>
              </a:r>
              <a:r>
                <a:rPr lang="es-CO" sz="1200" b="1" i="0" baseline="-25000">
                  <a:latin typeface="Cambria Math" panose="02040503050406030204" pitchFamily="18" charset="0"/>
                </a:rPr>
                <a:t>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382885</xdr:colOff>
      <xdr:row>77</xdr:row>
      <xdr:rowOff>25646</xdr:rowOff>
    </xdr:from>
    <xdr:ext cx="169566" cy="250580"/>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id="{00000000-0008-0000-0100-000010000000}"/>
                </a:ext>
              </a:extLst>
            </xdr:cNvPr>
            <xdr:cNvSpPr txBox="1"/>
          </xdr:nvSpPr>
          <xdr:spPr>
            <a:xfrm>
              <a:off x="12174835" y="28114871"/>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𝜷</m:t>
                    </m:r>
                  </m:oMath>
                </m:oMathPara>
              </a14:m>
              <a:endParaRPr lang="es-CO" sz="1400" b="1"/>
            </a:p>
          </xdr:txBody>
        </xdr:sp>
      </mc:Choice>
      <mc:Fallback xmlns="">
        <xdr:sp macro="" textlink="">
          <xdr:nvSpPr>
            <xdr:cNvPr id="16" name="CuadroTexto 15">
              <a:extLst>
                <a:ext uri="{FF2B5EF4-FFF2-40B4-BE49-F238E27FC236}">
                  <a16:creationId xmlns="" xmlns:a16="http://schemas.microsoft.com/office/drawing/2014/main" xmlns:a14="http://schemas.microsoft.com/office/drawing/2010/main" id="{00000000-0008-0000-0200-000010000000}"/>
                </a:ext>
              </a:extLst>
            </xdr:cNvPr>
            <xdr:cNvSpPr txBox="1"/>
          </xdr:nvSpPr>
          <xdr:spPr>
            <a:xfrm>
              <a:off x="12174835" y="28114871"/>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𝜷</a:t>
              </a:r>
              <a:endParaRPr lang="es-CO" sz="1400" b="1"/>
            </a:p>
          </xdr:txBody>
        </xdr:sp>
      </mc:Fallback>
    </mc:AlternateContent>
    <xdr:clientData/>
  </xdr:oneCellAnchor>
  <xdr:oneCellAnchor>
    <xdr:from>
      <xdr:col>13</xdr:col>
      <xdr:colOff>330550</xdr:colOff>
      <xdr:row>68</xdr:row>
      <xdr:rowOff>102263</xdr:rowOff>
    </xdr:from>
    <xdr:ext cx="345726" cy="333375"/>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100-000011000000}"/>
                </a:ext>
              </a:extLst>
            </xdr:cNvPr>
            <xdr:cNvSpPr txBox="1"/>
          </xdr:nvSpPr>
          <xdr:spPr>
            <a:xfrm>
              <a:off x="12122500" y="26334113"/>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𝒕</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0200-000011000000}"/>
                </a:ext>
              </a:extLst>
            </xdr:cNvPr>
            <xdr:cNvSpPr txBox="1"/>
          </xdr:nvSpPr>
          <xdr:spPr>
            <a:xfrm>
              <a:off x="12122500" y="26334113"/>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326678</xdr:colOff>
      <xdr:row>74</xdr:row>
      <xdr:rowOff>108439</xdr:rowOff>
    </xdr:from>
    <xdr:ext cx="334630" cy="333375"/>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100-000012000000}"/>
                </a:ext>
              </a:extLst>
            </xdr:cNvPr>
            <xdr:cNvSpPr txBox="1"/>
          </xdr:nvSpPr>
          <xdr:spPr>
            <a:xfrm>
              <a:off x="12118628" y="27654739"/>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0200-000012000000}"/>
                </a:ext>
              </a:extLst>
            </xdr:cNvPr>
            <xdr:cNvSpPr txBox="1"/>
          </xdr:nvSpPr>
          <xdr:spPr>
            <a:xfrm>
              <a:off x="12118628" y="27654739"/>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297473</xdr:colOff>
      <xdr:row>65</xdr:row>
      <xdr:rowOff>42079</xdr:rowOff>
    </xdr:from>
    <xdr:ext cx="301241" cy="311708"/>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100-000013000000}"/>
                </a:ext>
              </a:extLst>
            </xdr:cNvPr>
            <xdr:cNvSpPr txBox="1"/>
          </xdr:nvSpPr>
          <xdr:spPr>
            <a:xfrm>
              <a:off x="12089423" y="25502404"/>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𝑽</m:t>
                        </m:r>
                      </m:e>
                      <m:sub>
                        <m:r>
                          <a:rPr lang="es-CO" sz="1400" b="1" i="1">
                            <a:latin typeface="Cambria Math" panose="02040503050406030204" pitchFamily="18" charset="0"/>
                          </a:rPr>
                          <m:t>𝟎</m:t>
                        </m:r>
                      </m:sub>
                    </m:sSub>
                  </m:oMath>
                </m:oMathPara>
              </a14:m>
              <a:endParaRPr lang="es-CO" sz="1400" b="1">
                <a:latin typeface="Times New Roman" panose="02020603050405020304" pitchFamily="18" charset="0"/>
                <a:cs typeface="Times New Roman" panose="02020603050405020304" pitchFamily="18" charset="0"/>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0200-000013000000}"/>
                </a:ext>
              </a:extLst>
            </xdr:cNvPr>
            <xdr:cNvSpPr txBox="1"/>
          </xdr:nvSpPr>
          <xdr:spPr>
            <a:xfrm>
              <a:off x="12089423" y="25502404"/>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𝑽_</a:t>
              </a:r>
              <a:r>
                <a:rPr lang="es-CO" sz="1400" b="1" i="0">
                  <a:latin typeface="Cambria Math" panose="02040503050406030204" pitchFamily="18" charset="0"/>
                </a:rPr>
                <a:t>𝟎</a:t>
              </a:r>
              <a:endParaRPr lang="es-CO" sz="1400" b="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357239</xdr:colOff>
      <xdr:row>79</xdr:row>
      <xdr:rowOff>104775</xdr:rowOff>
    </xdr:from>
    <xdr:ext cx="214261" cy="164750"/>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100-000014000000}"/>
                </a:ext>
              </a:extLst>
            </xdr:cNvPr>
            <xdr:cNvSpPr txBox="1"/>
          </xdr:nvSpPr>
          <xdr:spPr>
            <a:xfrm>
              <a:off x="12149189" y="28632150"/>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𝒕</m:t>
                    </m:r>
                  </m:oMath>
                </m:oMathPara>
              </a14:m>
              <a:endParaRPr lang="es-CO" sz="1400" b="1" i="1"/>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0200-000014000000}"/>
                </a:ext>
              </a:extLst>
            </xdr:cNvPr>
            <xdr:cNvSpPr txBox="1"/>
          </xdr:nvSpPr>
          <xdr:spPr>
            <a:xfrm>
              <a:off x="12149189" y="28632150"/>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a:t>
              </a:r>
              <a:endParaRPr lang="es-CO" sz="1400" b="1" i="1"/>
            </a:p>
          </xdr:txBody>
        </xdr:sp>
      </mc:Fallback>
    </mc:AlternateContent>
    <xdr:clientData/>
  </xdr:oneCellAnchor>
  <xdr:oneCellAnchor>
    <xdr:from>
      <xdr:col>5</xdr:col>
      <xdr:colOff>104402</xdr:colOff>
      <xdr:row>64</xdr:row>
      <xdr:rowOff>369368</xdr:rowOff>
    </xdr:from>
    <xdr:ext cx="4533485" cy="366280"/>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id="{00000000-0008-0000-0100-000018000000}"/>
                </a:ext>
              </a:extLst>
            </xdr:cNvPr>
            <xdr:cNvSpPr txBox="1"/>
          </xdr:nvSpPr>
          <xdr:spPr>
            <a:xfrm>
              <a:off x="6105152" y="27570047"/>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𝑽𝒕</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r>
                          <a:rPr lang="es-CO" sz="1100" b="1" i="1" baseline="-25000">
                            <a:solidFill>
                              <a:schemeClr val="tx1"/>
                            </a:solidFill>
                            <a:effectLst/>
                            <a:latin typeface="Cambria Math" panose="02040503050406030204" pitchFamily="18" charset="0"/>
                            <a:ea typeface="+mn-ea"/>
                            <a:cs typeface="+mn-cs"/>
                          </a:rPr>
                          <m:t>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𝟎</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𝜷</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e>
                    </m:d>
                    <m:r>
                      <a:rPr lang="es-CO" sz="1100" b="1" i="1">
                        <a:solidFill>
                          <a:schemeClr val="tx1"/>
                        </a:solidFill>
                        <a:effectLst/>
                        <a:latin typeface="Cambria Math" panose="02040503050406030204" pitchFamily="18" charset="0"/>
                        <a:ea typeface="+mn-ea"/>
                        <a:cs typeface="+mn-cs"/>
                      </a:rPr>
                      <m:t>]</m:t>
                    </m:r>
                  </m:oMath>
                </m:oMathPara>
              </a14:m>
              <a:endParaRPr lang="es-CO">
                <a:effectLst/>
              </a:endParaRPr>
            </a:p>
            <a:p>
              <a:endParaRPr lang="es-CO" sz="1100"/>
            </a:p>
          </xdr:txBody>
        </xdr:sp>
      </mc:Choice>
      <mc:Fallback xmlns="">
        <xdr:sp macro="" textlink="">
          <xdr:nvSpPr>
            <xdr:cNvPr id="24" name="CuadroTexto 23">
              <a:extLst>
                <a:ext uri="{FF2B5EF4-FFF2-40B4-BE49-F238E27FC236}">
                  <a16:creationId xmlns:a16="http://schemas.microsoft.com/office/drawing/2014/main" xmlns="" xmlns:a14="http://schemas.microsoft.com/office/drawing/2010/main" id="{00000000-0008-0000-0100-000018000000}"/>
                </a:ext>
              </a:extLst>
            </xdr:cNvPr>
            <xdr:cNvSpPr txBox="1"/>
          </xdr:nvSpPr>
          <xdr:spPr>
            <a:xfrm>
              <a:off x="6105152" y="27570047"/>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𝝏𝑽𝒕</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𝝏𝑽</a:t>
              </a:r>
              <a:r>
                <a:rPr lang="es-CO" sz="1100" b="1" i="0" baseline="-25000">
                  <a:solidFill>
                    <a:schemeClr val="tx1"/>
                  </a:solidFill>
                  <a:effectLst/>
                  <a:latin typeface="Cambria Math" panose="02040503050406030204" pitchFamily="18" charset="0"/>
                  <a:ea typeface="+mn-ea"/>
                  <a:cs typeface="+mn-cs"/>
                </a:rPr>
                <a:t>𝟎</a:t>
              </a:r>
              <a:r>
                <a:rPr lang="es-CO" sz="1100" b="1" i="0">
                  <a:solidFill>
                    <a:schemeClr val="tx1"/>
                  </a:solidFill>
                  <a:effectLst/>
                  <a:latin typeface="Cambria Math" panose="02040503050406030204" pitchFamily="18" charset="0"/>
                  <a:ea typeface="+mn-ea"/>
                  <a:cs typeface="+mn-cs"/>
                </a:rPr>
                <a:t>=[𝟏−𝜸</a:t>
              </a:r>
              <a:r>
                <a:rPr lang="es-CO" sz="1100" b="1" i="0" baseline="-25000">
                  <a:solidFill>
                    <a:schemeClr val="tx1"/>
                  </a:solidFill>
                  <a:effectLst/>
                  <a:latin typeface="Cambria Math" panose="02040503050406030204" pitchFamily="18" charset="0"/>
                  <a:ea typeface="+mn-ea"/>
                  <a:cs typeface="+mn-cs"/>
                </a:rPr>
                <a:t>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𝟎𝑹𝑺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solidFill>
                    <a:schemeClr val="tx1"/>
                  </a:solidFill>
                  <a:effectLst/>
                  <a:latin typeface="Cambria Math" panose="02040503050406030204" pitchFamily="18" charset="0"/>
                  <a:ea typeface="+mn-ea"/>
                  <a:cs typeface="+mn-cs"/>
                </a:rPr>
                <a:t>+𝜷∗</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solidFill>
                    <a:schemeClr val="tx1"/>
                  </a:solidFill>
                  <a:effectLst/>
                  <a:latin typeface="Cambria Math" panose="02040503050406030204" pitchFamily="18" charset="0"/>
                  <a:ea typeface="+mn-ea"/>
                  <a:cs typeface="+mn-cs"/>
                </a:rPr>
                <a:t>+𝜸</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solidFill>
                    <a:schemeClr val="tx1"/>
                  </a:solidFill>
                  <a:effectLst/>
                  <a:latin typeface="Cambria Math" panose="02040503050406030204" pitchFamily="18" charset="0"/>
                  <a:ea typeface="+mn-ea"/>
                  <a:cs typeface="+mn-cs"/>
                </a:rPr>
                <a:t>]</a:t>
              </a:r>
              <a:endParaRPr lang="es-CO">
                <a:effectLst/>
              </a:endParaRPr>
            </a:p>
            <a:p>
              <a:endParaRPr lang="es-CO" sz="1100"/>
            </a:p>
          </xdr:txBody>
        </xdr:sp>
      </mc:Fallback>
    </mc:AlternateContent>
    <xdr:clientData/>
  </xdr:oneCellAnchor>
  <xdr:oneCellAnchor>
    <xdr:from>
      <xdr:col>3</xdr:col>
      <xdr:colOff>232682</xdr:colOff>
      <xdr:row>114</xdr:row>
      <xdr:rowOff>79080</xdr:rowOff>
    </xdr:from>
    <xdr:ext cx="570140" cy="233883"/>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100-000019000000}"/>
                </a:ext>
              </a:extLst>
            </xdr:cNvPr>
            <xdr:cNvSpPr txBox="1"/>
          </xdr:nvSpPr>
          <xdr:spPr>
            <a:xfrm>
              <a:off x="3680732" y="434178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0200-00001A000000}"/>
                </a:ext>
              </a:extLst>
            </xdr:cNvPr>
            <xdr:cNvSpPr txBox="1"/>
          </xdr:nvSpPr>
          <xdr:spPr>
            <a:xfrm>
              <a:off x="3680732" y="434178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228599</xdr:colOff>
      <xdr:row>115</xdr:row>
      <xdr:rowOff>75320</xdr:rowOff>
    </xdr:from>
    <xdr:ext cx="583746" cy="258055"/>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100-00001A000000}"/>
                </a:ext>
              </a:extLst>
            </xdr:cNvPr>
            <xdr:cNvSpPr txBox="1"/>
          </xdr:nvSpPr>
          <xdr:spPr>
            <a:xfrm>
              <a:off x="3676649" y="437950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0200-00001B000000}"/>
                </a:ext>
              </a:extLst>
            </xdr:cNvPr>
            <xdr:cNvSpPr txBox="1"/>
          </xdr:nvSpPr>
          <xdr:spPr>
            <a:xfrm>
              <a:off x="3676649" y="437950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306779</xdr:colOff>
      <xdr:row>116</xdr:row>
      <xdr:rowOff>121736</xdr:rowOff>
    </xdr:from>
    <xdr:ext cx="446562" cy="276583"/>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100-00001B000000}"/>
                </a:ext>
              </a:extLst>
            </xdr:cNvPr>
            <xdr:cNvSpPr txBox="1"/>
          </xdr:nvSpPr>
          <xdr:spPr>
            <a:xfrm>
              <a:off x="3865665" y="4426578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𝑟𝑒𝑝</m:t>
                        </m:r>
                      </m:sub>
                    </m:sSub>
                  </m:oMath>
                </m:oMathPara>
              </a14:m>
              <a:endParaRPr lang="es-CO" sz="1200">
                <a:solidFill>
                  <a:sysClr val="windowText" lastClr="000000"/>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0200-00001B000000}"/>
                </a:ext>
              </a:extLst>
            </xdr:cNvPr>
            <xdr:cNvSpPr txBox="1"/>
          </xdr:nvSpPr>
          <xdr:spPr>
            <a:xfrm>
              <a:off x="3865665" y="4426578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𝑟𝑒𝑝</a:t>
              </a:r>
              <a:endParaRPr lang="es-CO" sz="1200">
                <a:solidFill>
                  <a:sysClr val="windowText" lastClr="000000"/>
                </a:solidFill>
              </a:endParaRPr>
            </a:p>
          </xdr:txBody>
        </xdr:sp>
      </mc:Fallback>
    </mc:AlternateContent>
    <xdr:clientData/>
  </xdr:oneCellAnchor>
  <xdr:oneCellAnchor>
    <xdr:from>
      <xdr:col>3</xdr:col>
      <xdr:colOff>50006</xdr:colOff>
      <xdr:row>116</xdr:row>
      <xdr:rowOff>494279</xdr:rowOff>
    </xdr:from>
    <xdr:ext cx="960204" cy="505845"/>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100-00001C000000}"/>
                </a:ext>
              </a:extLst>
            </xdr:cNvPr>
            <xdr:cNvSpPr txBox="1"/>
          </xdr:nvSpPr>
          <xdr:spPr>
            <a:xfrm>
              <a:off x="3602831" y="44642654"/>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s-CO" sz="800" b="1" i="1">
                          <a:solidFill>
                            <a:sysClr val="windowText" lastClr="000000"/>
                          </a:solidFill>
                          <a:latin typeface="Cambria Math" panose="02040503050406030204" pitchFamily="18" charset="0"/>
                        </a:rPr>
                      </m:ctrlPr>
                    </m:sSubPr>
                    <m:e>
                      <m:r>
                        <a:rPr lang="es-CO" sz="800" b="1" i="1">
                          <a:solidFill>
                            <a:sysClr val="windowText" lastClr="000000"/>
                          </a:solidFill>
                          <a:latin typeface="Cambria Math" panose="02040503050406030204" pitchFamily="18" charset="0"/>
                          <a:ea typeface="Cambria Math" panose="02040503050406030204" pitchFamily="18" charset="0"/>
                        </a:rPr>
                        <m:t>𝜹</m:t>
                      </m:r>
                      <m:r>
                        <a:rPr lang="es-CO" sz="800" b="1" i="1">
                          <a:solidFill>
                            <a:sysClr val="windowText" lastClr="000000"/>
                          </a:solidFill>
                          <a:latin typeface="Cambria Math" panose="02040503050406030204" pitchFamily="18" charset="0"/>
                          <a:ea typeface="Cambria Math" panose="02040503050406030204" pitchFamily="18" charset="0"/>
                        </a:rPr>
                        <m:t>𝑽</m:t>
                      </m:r>
                    </m:e>
                    <m:sub>
                      <m:r>
                        <a:rPr lang="es-CO" sz="800" b="1" i="1">
                          <a:solidFill>
                            <a:sysClr val="windowText" lastClr="000000"/>
                          </a:solidFill>
                          <a:latin typeface="Cambria Math" panose="02040503050406030204" pitchFamily="18" charset="0"/>
                        </a:rPr>
                        <m:t>𝒂𝒅𝒅</m:t>
                      </m:r>
                    </m:sub>
                  </m:sSub>
                </m:oMath>
              </a14:m>
              <a:r>
                <a:rPr lang="es-CO" sz="800" b="1">
                  <a:solidFill>
                    <a:sysClr val="windowText" lastClr="000000"/>
                  </a:solidFill>
                </a:rPr>
                <a:t> burbujas, evaporación,</a:t>
              </a:r>
              <a:r>
                <a:rPr lang="es-CO" sz="800" b="1" baseline="0">
                  <a:solidFill>
                    <a:sysClr val="windowText" lastClr="000000"/>
                  </a:solidFill>
                </a:rPr>
                <a:t> residuo liquido</a:t>
              </a:r>
              <a:endParaRPr lang="es-CO" sz="800" b="1">
                <a:solidFill>
                  <a:sysClr val="windowText" lastClr="000000"/>
                </a:solidFill>
              </a:endParaRPr>
            </a:p>
          </xdr:txBody>
        </xdr:sp>
      </mc:Choice>
      <mc:Fallback xmlns="">
        <xdr:sp macro="" textlink="">
          <xdr:nvSpPr>
            <xdr:cNvPr id="28" name="CuadroTexto 27">
              <a:extLst>
                <a:ext uri="{FF2B5EF4-FFF2-40B4-BE49-F238E27FC236}">
                  <a16:creationId xmlns:a16="http://schemas.microsoft.com/office/drawing/2014/main" id="{00000000-0008-0000-0200-00001C000000}"/>
                </a:ext>
              </a:extLst>
            </xdr:cNvPr>
            <xdr:cNvSpPr txBox="1"/>
          </xdr:nvSpPr>
          <xdr:spPr>
            <a:xfrm>
              <a:off x="3602831" y="44642654"/>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800" b="1" i="0">
                  <a:solidFill>
                    <a:sysClr val="windowText" lastClr="000000"/>
                  </a:solidFill>
                  <a:latin typeface="Cambria Math" panose="02040503050406030204" pitchFamily="18" charset="0"/>
                </a:rPr>
                <a:t>〖</a:t>
              </a:r>
              <a:r>
                <a:rPr lang="es-CO" sz="800" b="1" i="0">
                  <a:solidFill>
                    <a:sysClr val="windowText" lastClr="000000"/>
                  </a:solidFill>
                  <a:latin typeface="Cambria Math" panose="02040503050406030204" pitchFamily="18" charset="0"/>
                  <a:ea typeface="Cambria Math" panose="02040503050406030204" pitchFamily="18" charset="0"/>
                </a:rPr>
                <a:t>𝜹𝑽〗_</a:t>
              </a:r>
              <a:r>
                <a:rPr lang="es-CO" sz="800" b="1" i="0">
                  <a:solidFill>
                    <a:sysClr val="windowText" lastClr="000000"/>
                  </a:solidFill>
                  <a:latin typeface="Cambria Math" panose="02040503050406030204" pitchFamily="18" charset="0"/>
                </a:rPr>
                <a:t>𝒂𝒅𝒅</a:t>
              </a:r>
              <a:r>
                <a:rPr lang="es-CO" sz="800" b="1">
                  <a:solidFill>
                    <a:sysClr val="windowText" lastClr="000000"/>
                  </a:solidFill>
                </a:rPr>
                <a:t> burbujas, evaporacion,</a:t>
              </a:r>
              <a:r>
                <a:rPr lang="es-CO" sz="800" b="1" baseline="0">
                  <a:solidFill>
                    <a:sysClr val="windowText" lastClr="000000"/>
                  </a:solidFill>
                </a:rPr>
                <a:t> residuo liquido</a:t>
              </a:r>
              <a:endParaRPr lang="es-CO" sz="800" b="1">
                <a:solidFill>
                  <a:sysClr val="windowText" lastClr="000000"/>
                </a:solidFill>
              </a:endParaRPr>
            </a:p>
          </xdr:txBody>
        </xdr:sp>
      </mc:Fallback>
    </mc:AlternateContent>
    <xdr:clientData/>
  </xdr:oneCellAnchor>
  <xdr:oneCellAnchor>
    <xdr:from>
      <xdr:col>11</xdr:col>
      <xdr:colOff>62531</xdr:colOff>
      <xdr:row>118</xdr:row>
      <xdr:rowOff>49428</xdr:rowOff>
    </xdr:from>
    <xdr:ext cx="1344704" cy="493060"/>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id="{00000000-0008-0000-0100-00001D000000}"/>
                </a:ext>
              </a:extLst>
            </xdr:cNvPr>
            <xdr:cNvSpPr txBox="1"/>
          </xdr:nvSpPr>
          <xdr:spPr>
            <a:xfrm>
              <a:off x="10235231" y="450360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panose="02040503050406030204" pitchFamily="18" charset="0"/>
                          </a:rPr>
                        </m:ctrlPr>
                      </m:sSupPr>
                      <m:e>
                        <m:sSup>
                          <m:sSupPr>
                            <m:ctrlPr>
                              <a:rPr lang="es-CO" sz="1000" b="1" i="1">
                                <a:solidFill>
                                  <a:schemeClr val="tx1"/>
                                </a:solidFill>
                                <a:effectLst/>
                                <a:latin typeface="Cambria Math" panose="02040503050406030204" pitchFamily="18" charset="0"/>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panose="02040503050406030204" pitchFamily="18" charset="0"/>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𝒕</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panose="02040503050406030204" pitchFamily="18" charset="0"/>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panose="02040503050406030204" pitchFamily="18" charset="0"/>
                                    <a:ea typeface="+mn-ea"/>
                                    <a:cs typeface="+mn-cs"/>
                                  </a:rPr>
                                </m:ctrlPr>
                              </m:dPr>
                              <m:e>
                                <m:f>
                                  <m:fPr>
                                    <m:ctrlPr>
                                      <a:rPr lang="es-CO" sz="1000" b="1" i="1">
                                        <a:solidFill>
                                          <a:schemeClr val="tx1"/>
                                        </a:solidFill>
                                        <a:effectLst/>
                                        <a:latin typeface="Cambria Math" panose="02040503050406030204" pitchFamily="18" charset="0"/>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𝑽𝒕</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29" name="CuadroTexto 28">
              <a:extLst>
                <a:ext uri="{FF2B5EF4-FFF2-40B4-BE49-F238E27FC236}">
                  <a16:creationId xmlns="" xmlns:a16="http://schemas.microsoft.com/office/drawing/2014/main" xmlns:a14="http://schemas.microsoft.com/office/drawing/2010/main" id="{00000000-0008-0000-0200-00001F000000}"/>
                </a:ext>
              </a:extLst>
            </xdr:cNvPr>
            <xdr:cNvSpPr txBox="1"/>
          </xdr:nvSpPr>
          <xdr:spPr>
            <a:xfrm>
              <a:off x="10235231" y="450360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(𝑽_𝒕)∑_𝒊▒(𝝏𝑽𝒕/𝝏𝒙𝒊(𝒙𝒊))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16</xdr:col>
      <xdr:colOff>628650</xdr:colOff>
      <xdr:row>125</xdr:row>
      <xdr:rowOff>0</xdr:rowOff>
    </xdr:from>
    <xdr:ext cx="65" cy="172227"/>
    <xdr:sp macro="" textlink="">
      <xdr:nvSpPr>
        <xdr:cNvPr id="30" name="CuadroTexto 29">
          <a:extLst>
            <a:ext uri="{FF2B5EF4-FFF2-40B4-BE49-F238E27FC236}">
              <a16:creationId xmlns:a16="http://schemas.microsoft.com/office/drawing/2014/main" id="{00000000-0008-0000-0100-00001E000000}"/>
            </a:ext>
          </a:extLst>
        </xdr:cNvPr>
        <xdr:cNvSpPr txBox="1"/>
      </xdr:nvSpPr>
      <xdr:spPr>
        <a:xfrm>
          <a:off x="15506700" y="4829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31" name="CuadroTexto 30">
              <a:extLst>
                <a:ext uri="{FF2B5EF4-FFF2-40B4-BE49-F238E27FC236}">
                  <a16:creationId xmlns:a16="http://schemas.microsoft.com/office/drawing/2014/main" id="{00000000-0008-0000-0100-00001F000000}"/>
                </a:ext>
              </a:extLst>
            </xdr:cNvPr>
            <xdr:cNvSpPr txBox="1"/>
          </xdr:nvSpPr>
          <xdr:spPr>
            <a:xfrm>
              <a:off x="3230662" y="31589884"/>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panose="02040503050406030204" pitchFamily="18" charset="0"/>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31" name="CuadroTexto 30">
              <a:extLst>
                <a:ext uri="{FF2B5EF4-FFF2-40B4-BE49-F238E27FC236}">
                  <a16:creationId xmlns="" xmlns:a16="http://schemas.microsoft.com/office/drawing/2014/main" xmlns:a14="http://schemas.microsoft.com/office/drawing/2010/main" id="{00000000-0008-0000-0200-000022000000}"/>
                </a:ext>
              </a:extLst>
            </xdr:cNvPr>
            <xdr:cNvSpPr txBox="1"/>
          </xdr:nvSpPr>
          <xdr:spPr>
            <a:xfrm>
              <a:off x="3230662" y="31589884"/>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32" name="CuadroTexto 31">
          <a:extLst>
            <a:ext uri="{FF2B5EF4-FFF2-40B4-BE49-F238E27FC236}">
              <a16:creationId xmlns:a16="http://schemas.microsoft.com/office/drawing/2014/main" id="{00000000-0008-0000-0100-000020000000}"/>
            </a:ext>
          </a:extLst>
        </xdr:cNvPr>
        <xdr:cNvSpPr txBox="1"/>
      </xdr:nvSpPr>
      <xdr:spPr>
        <a:xfrm>
          <a:off x="509587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33" name="CuadroTexto 32">
          <a:extLst>
            <a:ext uri="{FF2B5EF4-FFF2-40B4-BE49-F238E27FC236}">
              <a16:creationId xmlns:a16="http://schemas.microsoft.com/office/drawing/2014/main" id="{00000000-0008-0000-0100-000021000000}"/>
            </a:ext>
          </a:extLst>
        </xdr:cNvPr>
        <xdr:cNvSpPr txBox="1"/>
      </xdr:nvSpPr>
      <xdr:spPr>
        <a:xfrm>
          <a:off x="59436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34" name="CuadroTexto 33">
          <a:extLst>
            <a:ext uri="{FF2B5EF4-FFF2-40B4-BE49-F238E27FC236}">
              <a16:creationId xmlns:a16="http://schemas.microsoft.com/office/drawing/2014/main" id="{00000000-0008-0000-0100-000022000000}"/>
            </a:ext>
          </a:extLst>
        </xdr:cNvPr>
        <xdr:cNvSpPr txBox="1"/>
      </xdr:nvSpPr>
      <xdr:spPr>
        <a:xfrm>
          <a:off x="67151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35" name="CuadroTexto 34">
          <a:extLst>
            <a:ext uri="{FF2B5EF4-FFF2-40B4-BE49-F238E27FC236}">
              <a16:creationId xmlns:a16="http://schemas.microsoft.com/office/drawing/2014/main" id="{00000000-0008-0000-0100-000023000000}"/>
            </a:ext>
          </a:extLst>
        </xdr:cNvPr>
        <xdr:cNvSpPr txBox="1"/>
      </xdr:nvSpPr>
      <xdr:spPr>
        <a:xfrm>
          <a:off x="74866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36" name="CuadroTexto 35">
          <a:extLst>
            <a:ext uri="{FF2B5EF4-FFF2-40B4-BE49-F238E27FC236}">
              <a16:creationId xmlns:a16="http://schemas.microsoft.com/office/drawing/2014/main" id="{00000000-0008-0000-0100-000024000000}"/>
            </a:ext>
          </a:extLst>
        </xdr:cNvPr>
        <xdr:cNvSpPr txBox="1"/>
      </xdr:nvSpPr>
      <xdr:spPr>
        <a:xfrm>
          <a:off x="833437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7" name="CuadroTexto 36">
          <a:extLst>
            <a:ext uri="{FF2B5EF4-FFF2-40B4-BE49-F238E27FC236}">
              <a16:creationId xmlns:a16="http://schemas.microsoft.com/office/drawing/2014/main" id="{00000000-0008-0000-0100-000025000000}"/>
            </a:ext>
          </a:extLst>
        </xdr:cNvPr>
        <xdr:cNvSpPr txBox="1"/>
      </xdr:nvSpPr>
      <xdr:spPr>
        <a:xfrm>
          <a:off x="91059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8" name="CuadroTexto 37">
          <a:extLst>
            <a:ext uri="{FF2B5EF4-FFF2-40B4-BE49-F238E27FC236}">
              <a16:creationId xmlns:a16="http://schemas.microsoft.com/office/drawing/2014/main" id="{00000000-0008-0000-0100-000026000000}"/>
            </a:ext>
          </a:extLst>
        </xdr:cNvPr>
        <xdr:cNvSpPr txBox="1"/>
      </xdr:nvSpPr>
      <xdr:spPr>
        <a:xfrm>
          <a:off x="99536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39" name="CuadroTexto 38">
          <a:extLst>
            <a:ext uri="{FF2B5EF4-FFF2-40B4-BE49-F238E27FC236}">
              <a16:creationId xmlns:a16="http://schemas.microsoft.com/office/drawing/2014/main" id="{00000000-0008-0000-0100-000027000000}"/>
            </a:ext>
          </a:extLst>
        </xdr:cNvPr>
        <xdr:cNvSpPr txBox="1"/>
      </xdr:nvSpPr>
      <xdr:spPr>
        <a:xfrm>
          <a:off x="108013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40" name="CuadroTexto 39">
          <a:extLst>
            <a:ext uri="{FF2B5EF4-FFF2-40B4-BE49-F238E27FC236}">
              <a16:creationId xmlns:a16="http://schemas.microsoft.com/office/drawing/2014/main" id="{00000000-0008-0000-0100-000028000000}"/>
            </a:ext>
          </a:extLst>
        </xdr:cNvPr>
        <xdr:cNvSpPr txBox="1"/>
      </xdr:nvSpPr>
      <xdr:spPr>
        <a:xfrm>
          <a:off x="91059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41" name="CuadroTexto 40">
          <a:extLst>
            <a:ext uri="{FF2B5EF4-FFF2-40B4-BE49-F238E27FC236}">
              <a16:creationId xmlns:a16="http://schemas.microsoft.com/office/drawing/2014/main" id="{00000000-0008-0000-0100-000029000000}"/>
            </a:ext>
          </a:extLst>
        </xdr:cNvPr>
        <xdr:cNvSpPr txBox="1"/>
      </xdr:nvSpPr>
      <xdr:spPr>
        <a:xfrm>
          <a:off x="99536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42" name="CuadroTexto 41">
          <a:extLst>
            <a:ext uri="{FF2B5EF4-FFF2-40B4-BE49-F238E27FC236}">
              <a16:creationId xmlns:a16="http://schemas.microsoft.com/office/drawing/2014/main" id="{00000000-0008-0000-0100-00002A000000}"/>
            </a:ext>
          </a:extLst>
        </xdr:cNvPr>
        <xdr:cNvSpPr txBox="1"/>
      </xdr:nvSpPr>
      <xdr:spPr>
        <a:xfrm>
          <a:off x="108013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43" name="CuadroTexto 42">
          <a:extLst>
            <a:ext uri="{FF2B5EF4-FFF2-40B4-BE49-F238E27FC236}">
              <a16:creationId xmlns:a16="http://schemas.microsoft.com/office/drawing/2014/main" id="{00000000-0008-0000-0100-00002B000000}"/>
            </a:ext>
          </a:extLst>
        </xdr:cNvPr>
        <xdr:cNvSpPr txBox="1"/>
      </xdr:nvSpPr>
      <xdr:spPr>
        <a:xfrm>
          <a:off x="11649075" y="21274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733766</xdr:colOff>
      <xdr:row>48</xdr:row>
      <xdr:rowOff>325551</xdr:rowOff>
    </xdr:from>
    <xdr:to>
      <xdr:col>18</xdr:col>
      <xdr:colOff>422038</xdr:colOff>
      <xdr:row>51</xdr:row>
      <xdr:rowOff>104527</xdr:rowOff>
    </xdr:to>
    <xdr:sp macro="" textlink="">
      <xdr:nvSpPr>
        <xdr:cNvPr id="44" name="Rectángulo redondeado 43">
          <a:extLst>
            <a:ext uri="{FF2B5EF4-FFF2-40B4-BE49-F238E27FC236}">
              <a16:creationId xmlns:a16="http://schemas.microsoft.com/office/drawing/2014/main" id="{00000000-0008-0000-0100-00002C000000}"/>
            </a:ext>
          </a:extLst>
        </xdr:cNvPr>
        <xdr:cNvSpPr/>
      </xdr:nvSpPr>
      <xdr:spPr>
        <a:xfrm>
          <a:off x="733766" y="19270776"/>
          <a:ext cx="16242722" cy="1112476"/>
        </a:xfrm>
        <a:prstGeom prst="roundRect">
          <a:avLst/>
        </a:prstGeom>
        <a:solidFill>
          <a:schemeClr val="accent2"/>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147299</xdr:colOff>
      <xdr:row>49</xdr:row>
      <xdr:rowOff>50347</xdr:rowOff>
    </xdr:from>
    <xdr:ext cx="14948649" cy="519544"/>
    <mc:AlternateContent xmlns:mc="http://schemas.openxmlformats.org/markup-compatibility/2006" xmlns:a14="http://schemas.microsoft.com/office/drawing/2010/main">
      <mc:Choice Requires="a14">
        <xdr:sp macro="" textlink="">
          <xdr:nvSpPr>
            <xdr:cNvPr id="45" name="CuadroTexto 44">
              <a:extLst>
                <a:ext uri="{FF2B5EF4-FFF2-40B4-BE49-F238E27FC236}">
                  <a16:creationId xmlns:a16="http://schemas.microsoft.com/office/drawing/2014/main" id="{00000000-0008-0000-0100-00002D000000}"/>
                </a:ext>
              </a:extLst>
            </xdr:cNvPr>
            <xdr:cNvSpPr txBox="1"/>
          </xdr:nvSpPr>
          <xdr:spPr>
            <a:xfrm>
              <a:off x="1528424" y="21660191"/>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𝒕</m:t>
                      </m:r>
                    </m:sub>
                  </m:sSub>
                </m:oMath>
              </a14:m>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  </m:t>
                          </m:r>
                        </m:e>
                        <m:e>
                          <m:r>
                            <a:rPr lang="es-CO" sz="2800" b="1" i="1">
                              <a:solidFill>
                                <a:sysClr val="windowText" lastClr="000000"/>
                              </a:solidFill>
                              <a:effectLst/>
                              <a:latin typeface="Cambria Math" panose="02040503050406030204" pitchFamily="18" charset="0"/>
                              <a:ea typeface="+mn-ea"/>
                              <a:cs typeface="+mn-cs"/>
                            </a:rPr>
                            <m:t> </m:t>
                          </m:r>
                        </m:e>
                      </m:eqArr>
                    </m:sub>
                  </m:sSub>
                  <m:d>
                    <m:dPr>
                      <m:begChr m:val="["/>
                      <m:endChr m:val="]"/>
                      <m:ctrlPr>
                        <a:rPr lang="es-CO" sz="2800" b="1" i="1">
                          <a:solidFill>
                            <a:sysClr val="windowText" lastClr="000000"/>
                          </a:solidFill>
                          <a:effectLst/>
                          <a:latin typeface="Cambria Math" panose="02040503050406030204" pitchFamily="18" charset="0"/>
                          <a:ea typeface="+mn-ea"/>
                          <a:cs typeface="+mn-cs"/>
                        </a:rPr>
                      </m:ctrlPr>
                    </m:dPr>
                    <m:e>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𝟏</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𝑹𝒔</m:t>
                              </m:r>
                            </m:sub>
                          </m:sSub>
                        </m:e>
                      </m:eqArr>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 </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𝑹𝑺</m:t>
                              </m:r>
                            </m:sub>
                          </m:sSub>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𝜷</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m:t>
                          </m:r>
                        </m:e>
                      </m:d>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𝒕</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𝑺𝑪𝑴</m:t>
                              </m:r>
                            </m:sub>
                          </m:sSub>
                        </m:e>
                      </m:d>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𝒎𝒆𝒏</m:t>
                      </m:r>
                    </m:sub>
                  </m:sSub>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𝒓𝒆𝒑</m:t>
                      </m:r>
                    </m:sub>
                  </m:sSub>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𝒂𝒅𝒅</m:t>
                      </m:r>
                    </m:sub>
                  </m:sSub>
                </m:oMath>
              </a14:m>
              <a:endParaRPr lang="es-CO" sz="2800">
                <a:solidFill>
                  <a:schemeClr val="bg1"/>
                </a:solidFill>
              </a:endParaRPr>
            </a:p>
          </xdr:txBody>
        </xdr:sp>
      </mc:Choice>
      <mc:Fallback xmlns="">
        <xdr:sp macro="" textlink="">
          <xdr:nvSpPr>
            <xdr:cNvPr id="45" name="CuadroTexto 44">
              <a:extLst>
                <a:ext uri="{FF2B5EF4-FFF2-40B4-BE49-F238E27FC236}">
                  <a16:creationId xmlns:a16="http://schemas.microsoft.com/office/drawing/2014/main" xmlns:a14="http://schemas.microsoft.com/office/drawing/2010/main" xmlns="" id="{00000000-0008-0000-0100-00002D000000}"/>
                </a:ext>
              </a:extLst>
            </xdr:cNvPr>
            <xdr:cNvSpPr txBox="1"/>
          </xdr:nvSpPr>
          <xdr:spPr>
            <a:xfrm>
              <a:off x="1528424" y="21660191"/>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r>
                <a:rPr lang="es-CO" sz="2800" b="1" i="0">
                  <a:solidFill>
                    <a:sysClr val="windowText" lastClr="000000"/>
                  </a:solidFill>
                  <a:effectLst/>
                  <a:latin typeface="Cambria Math" panose="02040503050406030204" pitchFamily="18" charset="0"/>
                  <a:ea typeface="+mn-ea"/>
                  <a:cs typeface="+mn-cs"/>
                </a:rPr>
                <a:t>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𝒕</a:t>
              </a:r>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r>
                <a:rPr lang="es-CO" sz="2800" b="1" i="0">
                  <a:solidFill>
                    <a:sysClr val="windowText" lastClr="000000"/>
                  </a:solidFill>
                  <a:effectLst/>
                  <a:latin typeface="Cambria Math" panose="02040503050406030204" pitchFamily="18" charset="0"/>
                  <a:ea typeface="+mn-ea"/>
                  <a:cs typeface="+mn-cs"/>
                </a:rPr>
                <a:t>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𝟎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 </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𝟏−𝜸</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𝑹𝒔</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𝟎𝑹𝑺  − 𝒕</a:t>
              </a:r>
              <a:r>
                <a:rPr lang="es-CO" sz="2800" b="1" i="0">
                  <a:solidFill>
                    <a:sysClr val="windowText" lastClr="000000"/>
                  </a:solidFill>
                  <a:effectLst/>
                  <a:latin typeface="Cambria Math"/>
                  <a:ea typeface="+mn-ea"/>
                  <a:cs typeface="+mn-cs"/>
                </a:rPr>
                <a:t>_</a:t>
              </a:r>
              <a:r>
                <a:rPr lang="es-MX" sz="2800" b="1" i="0">
                  <a:solidFill>
                    <a:sysClr val="windowText" lastClr="000000"/>
                  </a:solidFill>
                  <a:effectLst/>
                  <a:latin typeface="Cambria Math" panose="02040503050406030204" pitchFamily="18" charset="0"/>
                  <a:ea typeface="+mn-ea"/>
                  <a:cs typeface="+mn-cs"/>
                </a:rPr>
                <a:t>𝑹𝑺</a:t>
              </a:r>
              <a:r>
                <a:rPr lang="es-MX"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+𝜷</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MX"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𝑹𝑺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+𝜸</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𝑺𝑪𝑴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 𝒕−𝒕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𝒎𝒆𝒏+ 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𝒓𝒆𝒑+𝜹𝑽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𝒂𝒅𝒅</a:t>
              </a:r>
              <a:endParaRPr lang="es-CO" sz="28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0100-00003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52" name="CuadroTexto 51">
              <a:extLst>
                <a:ext uri="{FF2B5EF4-FFF2-40B4-BE49-F238E27FC236}">
                  <a16:creationId xmlns="" xmlns:a16="http://schemas.microsoft.com/office/drawing/2014/main" xmlns:a14="http://schemas.microsoft.com/office/drawing/2010/main" id="{00000000-0008-0000-0200-00004A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53" name="CuadroTexto 52">
              <a:extLst>
                <a:ext uri="{FF2B5EF4-FFF2-40B4-BE49-F238E27FC236}">
                  <a16:creationId xmlns:a16="http://schemas.microsoft.com/office/drawing/2014/main" id="{00000000-0008-0000-0100-000035000000}"/>
                </a:ext>
              </a:extLst>
            </xdr:cNvPr>
            <xdr:cNvSpPr txBox="1"/>
          </xdr:nvSpPr>
          <xdr:spPr>
            <a:xfrm>
              <a:off x="4927396" y="23329396"/>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53" name="CuadroTexto 52">
              <a:extLst>
                <a:ext uri="{FF2B5EF4-FFF2-40B4-BE49-F238E27FC236}">
                  <a16:creationId xmlns="" xmlns:a16="http://schemas.microsoft.com/office/drawing/2014/main" xmlns:a14="http://schemas.microsoft.com/office/drawing/2010/main" id="{00000000-0008-0000-0200-00004B000000}"/>
                </a:ext>
              </a:extLst>
            </xdr:cNvPr>
            <xdr:cNvSpPr txBox="1"/>
          </xdr:nvSpPr>
          <xdr:spPr>
            <a:xfrm>
              <a:off x="4927396" y="23329396"/>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54" name="Gráfico 53">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55" name="Gráfico 54">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214312</xdr:colOff>
      <xdr:row>39</xdr:row>
      <xdr:rowOff>7938</xdr:rowOff>
    </xdr:from>
    <xdr:to>
      <xdr:col>18</xdr:col>
      <xdr:colOff>682244</xdr:colOff>
      <xdr:row>42</xdr:row>
      <xdr:rowOff>485323</xdr:rowOff>
    </xdr:to>
    <xdr:graphicFrame macro="">
      <xdr:nvGraphicFramePr>
        <xdr:cNvPr id="56" name="Gráfico 55">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63500</xdr:colOff>
      <xdr:row>39</xdr:row>
      <xdr:rowOff>47625</xdr:rowOff>
    </xdr:from>
    <xdr:to>
      <xdr:col>21</xdr:col>
      <xdr:colOff>713994</xdr:colOff>
      <xdr:row>42</xdr:row>
      <xdr:rowOff>525010</xdr:rowOff>
    </xdr:to>
    <xdr:graphicFrame macro="">
      <xdr:nvGraphicFramePr>
        <xdr:cNvPr id="57" name="Gráfico 56">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777875</xdr:colOff>
      <xdr:row>39</xdr:row>
      <xdr:rowOff>47625</xdr:rowOff>
    </xdr:from>
    <xdr:to>
      <xdr:col>24</xdr:col>
      <xdr:colOff>626682</xdr:colOff>
      <xdr:row>42</xdr:row>
      <xdr:rowOff>525010</xdr:rowOff>
    </xdr:to>
    <xdr:graphicFrame macro="">
      <xdr:nvGraphicFramePr>
        <xdr:cNvPr id="58" name="Gráfico 57">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10</xdr:col>
      <xdr:colOff>40482</xdr:colOff>
      <xdr:row>5</xdr:row>
      <xdr:rowOff>257175</xdr:rowOff>
    </xdr:from>
    <xdr:ext cx="707536" cy="236155"/>
    <mc:AlternateContent xmlns:mc="http://schemas.openxmlformats.org/markup-compatibility/2006" xmlns:a14="http://schemas.microsoft.com/office/drawing/2010/main">
      <mc:Choice Requires="a14">
        <xdr:sp macro="" textlink="">
          <xdr:nvSpPr>
            <xdr:cNvPr id="59" name="CuadroTexto 58">
              <a:extLst>
                <a:ext uri="{FF2B5EF4-FFF2-40B4-BE49-F238E27FC236}">
                  <a16:creationId xmlns:a16="http://schemas.microsoft.com/office/drawing/2014/main" id="{00000000-0008-0000-0100-00003B000000}"/>
                </a:ext>
              </a:extLst>
            </xdr:cNvPr>
            <xdr:cNvSpPr txBox="1"/>
          </xdr:nvSpPr>
          <xdr:spPr>
            <a:xfrm>
              <a:off x="10053638" y="2090738"/>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𝜹</m:t>
                        </m:r>
                      </m:e>
                      <m:sub>
                        <m:r>
                          <a:rPr lang="es-CO" sz="1400" b="1" i="1">
                            <a:latin typeface="Cambria Math" panose="02040503050406030204" pitchFamily="18" charset="0"/>
                            <a:ea typeface="Cambria Math" panose="02040503050406030204" pitchFamily="18" charset="0"/>
                          </a:rPr>
                          <m:t>𝒅𝒓𝒊𝒇𝒕</m:t>
                        </m:r>
                        <m:r>
                          <a:rPr lang="es-CO" sz="1400" b="1" i="1">
                            <a:latin typeface="Cambria Math" panose="02040503050406030204" pitchFamily="18" charset="0"/>
                            <a:ea typeface="Cambria Math" panose="02040503050406030204" pitchFamily="18" charset="0"/>
                          </a:rPr>
                          <m:t> </m:t>
                        </m:r>
                      </m:sub>
                    </m:sSub>
                    <m:r>
                      <a:rPr lang="es-CO" sz="1400" b="1" i="1">
                        <a:latin typeface="Cambria Math" panose="02040503050406030204" pitchFamily="18" charset="0"/>
                        <a:ea typeface="Cambria Math" panose="02040503050406030204" pitchFamily="18" charset="0"/>
                      </a:rPr>
                      <m:t>)</m:t>
                    </m:r>
                  </m:oMath>
                </m:oMathPara>
              </a14:m>
              <a:endParaRPr lang="es-CO" sz="1400" b="1"/>
            </a:p>
          </xdr:txBody>
        </xdr:sp>
      </mc:Choice>
      <mc:Fallback xmlns="">
        <xdr:sp macro="" textlink="">
          <xdr:nvSpPr>
            <xdr:cNvPr id="59" name="CuadroTexto 58">
              <a:extLst>
                <a:ext uri="{FF2B5EF4-FFF2-40B4-BE49-F238E27FC236}">
                  <a16:creationId xmlns:a16="http://schemas.microsoft.com/office/drawing/2014/main" xmlns:a14="http://schemas.microsoft.com/office/drawing/2010/main" xmlns="" id="{00000000-0008-0000-0300-000015000000}"/>
                </a:ext>
              </a:extLst>
            </xdr:cNvPr>
            <xdr:cNvSpPr txBox="1"/>
          </xdr:nvSpPr>
          <xdr:spPr>
            <a:xfrm>
              <a:off x="10053638" y="2090738"/>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(𝜹</a:t>
              </a:r>
              <a:r>
                <a:rPr lang="es-CO" sz="1400" b="1" i="0">
                  <a:latin typeface="Cambria Math"/>
                  <a:ea typeface="Cambria Math" panose="02040503050406030204" pitchFamily="18" charset="0"/>
                </a:rPr>
                <a:t>〗_(</a:t>
              </a:r>
              <a:r>
                <a:rPr lang="es-CO" sz="1400" b="1" i="0">
                  <a:latin typeface="Cambria Math" panose="02040503050406030204" pitchFamily="18" charset="0"/>
                  <a:ea typeface="Cambria Math" panose="02040503050406030204" pitchFamily="18" charset="0"/>
                </a:rPr>
                <a:t>𝒅𝒓𝒊𝒇𝒕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a:t>
              </a:r>
              <a:endParaRPr lang="es-CO" sz="1400" b="1"/>
            </a:p>
          </xdr:txBody>
        </xdr:sp>
      </mc:Fallback>
    </mc:AlternateContent>
    <xdr:clientData/>
  </xdr:oneCellAnchor>
  <xdr:twoCellAnchor>
    <xdr:from>
      <xdr:col>18</xdr:col>
      <xdr:colOff>235323</xdr:colOff>
      <xdr:row>97</xdr:row>
      <xdr:rowOff>33619</xdr:rowOff>
    </xdr:from>
    <xdr:to>
      <xdr:col>24</xdr:col>
      <xdr:colOff>649940</xdr:colOff>
      <xdr:row>107</xdr:row>
      <xdr:rowOff>103656</xdr:rowOff>
    </xdr:to>
    <xdr:graphicFrame macro="">
      <xdr:nvGraphicFramePr>
        <xdr:cNvPr id="60" name="Gráfico 59">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3</xdr:col>
      <xdr:colOff>112059</xdr:colOff>
      <xdr:row>111</xdr:row>
      <xdr:rowOff>190501</xdr:rowOff>
    </xdr:from>
    <xdr:ext cx="885265" cy="246531"/>
    <mc:AlternateContent xmlns:mc="http://schemas.openxmlformats.org/markup-compatibility/2006" xmlns:a14="http://schemas.microsoft.com/office/drawing/2010/main">
      <mc:Choice Requires="a14">
        <xdr:sp macro="" textlink="">
          <xdr:nvSpPr>
            <xdr:cNvPr id="61" name="CuadroTexto 60">
              <a:extLst>
                <a:ext uri="{FF2B5EF4-FFF2-40B4-BE49-F238E27FC236}">
                  <a16:creationId xmlns:a16="http://schemas.microsoft.com/office/drawing/2014/main" id="{00000000-0008-0000-0100-00003D000000}"/>
                </a:ext>
              </a:extLst>
            </xdr:cNvPr>
            <xdr:cNvSpPr txBox="1"/>
          </xdr:nvSpPr>
          <xdr:spPr>
            <a:xfrm>
              <a:off x="3832412" y="45451060"/>
              <a:ext cx="885265" cy="246531"/>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100" b="1" i="1">
                        <a:solidFill>
                          <a:srgbClr val="FF0000"/>
                        </a:solidFill>
                        <a:effectLst/>
                        <a:latin typeface="Cambria Math"/>
                        <a:ea typeface="+mn-ea"/>
                        <a:cs typeface="+mn-cs"/>
                      </a:rPr>
                      <m:t>𝒖</m:t>
                    </m:r>
                    <m:d>
                      <m:dPr>
                        <m:ctrlPr>
                          <a:rPr lang="es-CO" sz="1100" b="1" i="1">
                            <a:solidFill>
                              <a:srgbClr val="FF0000"/>
                            </a:solidFill>
                            <a:effectLst/>
                            <a:latin typeface="Cambria Math" panose="02040503050406030204" pitchFamily="18" charset="0"/>
                            <a:ea typeface="+mn-ea"/>
                            <a:cs typeface="+mn-cs"/>
                          </a:rPr>
                        </m:ctrlPr>
                      </m:dPr>
                      <m:e>
                        <m:sSub>
                          <m:sSubPr>
                            <m:ctrlPr>
                              <a:rPr lang="es-CO" sz="1100" b="1" i="1">
                                <a:solidFill>
                                  <a:srgbClr val="FF0000"/>
                                </a:solidFill>
                                <a:effectLst/>
                                <a:latin typeface="Cambria Math" panose="02040503050406030204" pitchFamily="18" charset="0"/>
                                <a:ea typeface="+mn-ea"/>
                                <a:cs typeface="+mn-cs"/>
                              </a:rPr>
                            </m:ctrlPr>
                          </m:sSubPr>
                          <m:e>
                            <m:r>
                              <a:rPr lang="es-CO" sz="1100" b="1" i="1">
                                <a:solidFill>
                                  <a:srgbClr val="FF0000"/>
                                </a:solidFill>
                                <a:effectLst/>
                                <a:latin typeface="Cambria Math"/>
                                <a:ea typeface="+mn-ea"/>
                                <a:cs typeface="+mn-cs"/>
                              </a:rPr>
                              <m:t>𝜹</m:t>
                            </m:r>
                          </m:e>
                          <m:sub>
                            <m:r>
                              <a:rPr lang="es-CO" sz="1100" b="1" i="1">
                                <a:solidFill>
                                  <a:srgbClr val="FF0000"/>
                                </a:solidFill>
                                <a:effectLst/>
                                <a:latin typeface="Cambria Math"/>
                                <a:ea typeface="+mn-ea"/>
                                <a:cs typeface="+mn-cs"/>
                              </a:rPr>
                              <m:t>𝒎𝒓</m:t>
                            </m:r>
                          </m:sub>
                        </m:sSub>
                      </m:e>
                    </m:d>
                  </m:oMath>
                </m:oMathPara>
              </a14:m>
              <a:endParaRPr lang="es-CO" sz="1200" b="1">
                <a:solidFill>
                  <a:sysClr val="windowText" lastClr="000000"/>
                </a:solidFill>
              </a:endParaRPr>
            </a:p>
          </xdr:txBody>
        </xdr:sp>
      </mc:Choice>
      <mc:Fallback xmlns="">
        <xdr:sp macro="" textlink="">
          <xdr:nvSpPr>
            <xdr:cNvPr id="61" name="CuadroTexto 60">
              <a:extLst>
                <a:ext uri="{FF2B5EF4-FFF2-40B4-BE49-F238E27FC236}">
                  <a16:creationId xmlns:a16="http://schemas.microsoft.com/office/drawing/2014/main" xmlns="" xmlns:a14="http://schemas.microsoft.com/office/drawing/2010/main" id="{00000000-0008-0000-0100-000019000000}"/>
                </a:ext>
              </a:extLst>
            </xdr:cNvPr>
            <xdr:cNvSpPr txBox="1"/>
          </xdr:nvSpPr>
          <xdr:spPr>
            <a:xfrm>
              <a:off x="3832412" y="45451060"/>
              <a:ext cx="885265" cy="246531"/>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solidFill>
                    <a:srgbClr val="FF0000"/>
                  </a:solidFill>
                  <a:effectLst/>
                  <a:latin typeface="Cambria Math"/>
                  <a:ea typeface="+mn-ea"/>
                  <a:cs typeface="+mn-cs"/>
                </a:rPr>
                <a:t>𝒖(𝜹_𝒎𝒓 )</a:t>
              </a:r>
              <a:endParaRPr lang="es-CO" sz="1200" b="1">
                <a:solidFill>
                  <a:sysClr val="windowText" lastClr="000000"/>
                </a:solidFill>
              </a:endParaRPr>
            </a:p>
          </xdr:txBody>
        </xdr:sp>
      </mc:Fallback>
    </mc:AlternateContent>
    <xdr:clientData/>
  </xdr:oneCellAnchor>
  <xdr:twoCellAnchor editAs="oneCell">
    <xdr:from>
      <xdr:col>0</xdr:col>
      <xdr:colOff>962987</xdr:colOff>
      <xdr:row>0</xdr:row>
      <xdr:rowOff>58316</xdr:rowOff>
    </xdr:from>
    <xdr:to>
      <xdr:col>2</xdr:col>
      <xdr:colOff>174948</xdr:colOff>
      <xdr:row>0</xdr:row>
      <xdr:rowOff>894184</xdr:rowOff>
    </xdr:to>
    <xdr:pic>
      <xdr:nvPicPr>
        <xdr:cNvPr id="2" name="1 Imagen">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7"/>
        <a:stretch>
          <a:fillRect/>
        </a:stretch>
      </xdr:blipFill>
      <xdr:spPr>
        <a:xfrm>
          <a:off x="962987" y="58316"/>
          <a:ext cx="1787599" cy="83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200-000003000000}"/>
                </a:ext>
              </a:extLst>
            </xdr:cNvPr>
            <xdr:cNvSpPr txBox="1"/>
          </xdr:nvSpPr>
          <xdr:spPr>
            <a:xfrm>
              <a:off x="5345639" y="233720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0200-000003000000}"/>
                </a:ext>
              </a:extLst>
            </xdr:cNvPr>
            <xdr:cNvSpPr txBox="1"/>
          </xdr:nvSpPr>
          <xdr:spPr>
            <a:xfrm>
              <a:off x="5345639" y="233720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200-00000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0200-00000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424497</xdr:colOff>
      <xdr:row>66</xdr:row>
      <xdr:rowOff>37084</xdr:rowOff>
    </xdr:from>
    <xdr:ext cx="1810415" cy="401066"/>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200-000005000000}"/>
                </a:ext>
              </a:extLst>
            </xdr:cNvPr>
            <xdr:cNvSpPr txBox="1"/>
          </xdr:nvSpPr>
          <xdr:spPr>
            <a:xfrm>
              <a:off x="7892097" y="27430984"/>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𝒕𝑹𝑺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𝑹𝑺</m:t>
                    </m:r>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0300-000005000000}"/>
                </a:ext>
              </a:extLst>
            </xdr:cNvPr>
            <xdr:cNvSpPr txBox="1"/>
          </xdr:nvSpPr>
          <xdr:spPr>
            <a:xfrm>
              <a:off x="7892097" y="27430984"/>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𝝏𝒕𝑹𝑺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ea typeface="Cambria Math" panose="02040503050406030204" pitchFamily="18" charset="0"/>
                </a:rPr>
                <a:t>−𝜷)]</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544142</xdr:colOff>
      <xdr:row>68</xdr:row>
      <xdr:rowOff>19050</xdr:rowOff>
    </xdr:from>
    <xdr:ext cx="1702892" cy="461594"/>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200-000006000000}"/>
                </a:ext>
              </a:extLst>
            </xdr:cNvPr>
            <xdr:cNvSpPr txBox="1"/>
          </xdr:nvSpPr>
          <xdr:spPr>
            <a:xfrm>
              <a:off x="8011742" y="27851100"/>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0300-000006000000}"/>
                </a:ext>
              </a:extLst>
            </xdr:cNvPr>
            <xdr:cNvSpPr txBox="1"/>
          </xdr:nvSpPr>
          <xdr:spPr>
            <a:xfrm>
              <a:off x="8011742" y="27851100"/>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latin typeface="Cambria Math" panose="02040503050406030204" pitchFamily="18" charset="0"/>
                  <a:ea typeface="Cambria Math" panose="02040503050406030204" pitchFamily="18" charset="0"/>
                </a:rPr>
                <a:t>𝜷−𝜸</a:t>
              </a:r>
              <a:r>
                <a:rPr lang="es-CO" sz="1100" b="1" i="0" baseline="-25000">
                  <a:latin typeface="Cambria Math" panose="02040503050406030204" pitchFamily="18" charset="0"/>
                  <a:ea typeface="Cambria Math" panose="02040503050406030204" pitchFamily="18" charset="0"/>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460453</xdr:colOff>
      <xdr:row>70</xdr:row>
      <xdr:rowOff>31202</xdr:rowOff>
    </xdr:from>
    <xdr:ext cx="1894821" cy="444221"/>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200-000007000000}"/>
                </a:ext>
              </a:extLst>
            </xdr:cNvPr>
            <xdr:cNvSpPr txBox="1"/>
          </xdr:nvSpPr>
          <xdr:spPr>
            <a:xfrm>
              <a:off x="7928053" y="28301402"/>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CO" sz="1100" b="1" i="1" baseline="-25000">
                        <a:latin typeface="Cambria Math" panose="02040503050406030204" pitchFamily="18" charset="0"/>
                      </a:rPr>
                      <m:t>𝟎</m:t>
                    </m:r>
                    <m:r>
                      <a:rPr lang="es-CO" sz="1100" b="1" i="1" baseline="-25000">
                        <a:latin typeface="Cambria Math" panose="02040503050406030204" pitchFamily="18" charset="0"/>
                        <a:ea typeface="Cambria Math" panose="02040503050406030204" pitchFamily="18" charset="0"/>
                      </a:rPr>
                      <m:t>𝑹𝑺</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0300-000007000000}"/>
                </a:ext>
              </a:extLst>
            </xdr:cNvPr>
            <xdr:cNvSpPr txBox="1"/>
          </xdr:nvSpPr>
          <xdr:spPr>
            <a:xfrm>
              <a:off x="7928053" y="28301402"/>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CO" sz="1100" b="1" i="0" baseline="-25000">
                  <a:latin typeface="Cambria Math" panose="02040503050406030204" pitchFamily="18" charset="0"/>
                </a:rPr>
                <a:t>𝟎</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mn-lt"/>
                  <a:ea typeface="+mn-ea"/>
                  <a:cs typeface="+mn-cs"/>
                </a:rPr>
                <a:t>𝒕</a:t>
              </a:r>
              <a:r>
                <a:rPr lang="es-CO" sz="1100" b="1" i="0" baseline="-25000">
                  <a:solidFill>
                    <a:schemeClr val="tx1"/>
                  </a:solidFill>
                  <a:effectLst/>
                  <a:latin typeface="+mn-lt"/>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438019</xdr:colOff>
      <xdr:row>72</xdr:row>
      <xdr:rowOff>38100</xdr:rowOff>
    </xdr:from>
    <xdr:ext cx="1800356" cy="42079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200-000008000000}"/>
                </a:ext>
              </a:extLst>
            </xdr:cNvPr>
            <xdr:cNvSpPr txBox="1"/>
          </xdr:nvSpPr>
          <xdr:spPr>
            <a:xfrm>
              <a:off x="7905619" y="28746450"/>
              <a:ext cx="18003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0300-000008000000}"/>
                </a:ext>
              </a:extLst>
            </xdr:cNvPr>
            <xdr:cNvSpPr txBox="1"/>
          </xdr:nvSpPr>
          <xdr:spPr>
            <a:xfrm>
              <a:off x="7905619" y="28746450"/>
              <a:ext cx="18003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219075</xdr:colOff>
      <xdr:row>74</xdr:row>
      <xdr:rowOff>57084</xdr:rowOff>
    </xdr:from>
    <xdr:ext cx="2019300" cy="411878"/>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200-000009000000}"/>
                </a:ext>
              </a:extLst>
            </xdr:cNvPr>
            <xdr:cNvSpPr txBox="1"/>
          </xdr:nvSpPr>
          <xdr:spPr>
            <a:xfrm>
              <a:off x="7686675" y="2920358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𝝏𝜷</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0300-000009000000}"/>
                </a:ext>
              </a:extLst>
            </xdr:cNvPr>
            <xdr:cNvSpPr txBox="1"/>
          </xdr:nvSpPr>
          <xdr:spPr>
            <a:xfrm>
              <a:off x="7686675" y="2920358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𝝏𝜷</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219961</xdr:colOff>
      <xdr:row>76</xdr:row>
      <xdr:rowOff>47625</xdr:rowOff>
    </xdr:from>
    <xdr:ext cx="951614" cy="386655"/>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200-00000A000000}"/>
                </a:ext>
              </a:extLst>
            </xdr:cNvPr>
            <xdr:cNvSpPr txBox="1"/>
          </xdr:nvSpPr>
          <xdr:spPr>
            <a:xfrm>
              <a:off x="8773411" y="29632275"/>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𝑽𝒎𝒆𝒏</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0300-00000A000000}"/>
                </a:ext>
              </a:extLst>
            </xdr:cNvPr>
            <xdr:cNvSpPr txBox="1"/>
          </xdr:nvSpPr>
          <xdr:spPr>
            <a:xfrm>
              <a:off x="8773411" y="29632275"/>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𝝏𝜹𝑽𝒎𝒆𝒏</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75126</xdr:colOff>
      <xdr:row>78</xdr:row>
      <xdr:rowOff>54909</xdr:rowOff>
    </xdr:from>
    <xdr:ext cx="1115500" cy="395793"/>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200-00000B000000}"/>
                </a:ext>
              </a:extLst>
            </xdr:cNvPr>
            <xdr:cNvSpPr txBox="1"/>
          </xdr:nvSpPr>
          <xdr:spPr>
            <a:xfrm>
              <a:off x="8628576" y="3007770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𝑽𝒓𝒆𝒑</m:t>
                        </m:r>
                      </m:den>
                    </m:f>
                    <m:r>
                      <a:rPr lang="es-CO" sz="1100" b="1" i="1">
                        <a:latin typeface="Cambria Math" panose="02040503050406030204" pitchFamily="18" charset="0"/>
                      </a:rPr>
                      <m:t>= </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0300-00000B000000}"/>
                </a:ext>
              </a:extLst>
            </xdr:cNvPr>
            <xdr:cNvSpPr txBox="1"/>
          </xdr:nvSpPr>
          <xdr:spPr>
            <a:xfrm>
              <a:off x="8628576" y="3007770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𝝏𝜹𝑽𝒓𝒆𝒑</a:t>
              </a:r>
              <a:r>
                <a:rPr lang="es-CO" sz="1100" b="1" i="0">
                  <a:latin typeface="Cambria Math" panose="02040503050406030204" pitchFamily="18" charset="0"/>
                </a:rPr>
                <a:t>= 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113959</xdr:colOff>
      <xdr:row>80</xdr:row>
      <xdr:rowOff>53386</xdr:rowOff>
    </xdr:from>
    <xdr:ext cx="1111805" cy="392205"/>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200-00000C000000}"/>
                </a:ext>
              </a:extLst>
            </xdr:cNvPr>
            <xdr:cNvSpPr txBox="1"/>
          </xdr:nvSpPr>
          <xdr:spPr>
            <a:xfrm>
              <a:off x="8667409" y="30514336"/>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𝑽𝒂𝒅𝒅</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0300-00000C000000}"/>
                </a:ext>
              </a:extLst>
            </xdr:cNvPr>
            <xdr:cNvSpPr txBox="1"/>
          </xdr:nvSpPr>
          <xdr:spPr>
            <a:xfrm>
              <a:off x="8667409" y="30514336"/>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𝝏𝜹𝑽𝒂𝒅𝒅</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385920</xdr:colOff>
      <xdr:row>73</xdr:row>
      <xdr:rowOff>1989</xdr:rowOff>
    </xdr:from>
    <xdr:ext cx="240010" cy="333375"/>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200-00000D000000}"/>
                </a:ext>
              </a:extLst>
            </xdr:cNvPr>
            <xdr:cNvSpPr txBox="1"/>
          </xdr:nvSpPr>
          <xdr:spPr>
            <a:xfrm>
              <a:off x="13016070" y="27262539"/>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0200-00000D000000}"/>
                </a:ext>
              </a:extLst>
            </xdr:cNvPr>
            <xdr:cNvSpPr txBox="1"/>
          </xdr:nvSpPr>
          <xdr:spPr>
            <a:xfrm>
              <a:off x="13016070" y="27262539"/>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𝑹𝑺</a:t>
              </a:r>
              <a:endParaRPr lang="es-CO" sz="1400" b="1"/>
            </a:p>
          </xdr:txBody>
        </xdr:sp>
      </mc:Fallback>
    </mc:AlternateContent>
    <xdr:clientData/>
  </xdr:oneCellAnchor>
  <xdr:oneCellAnchor>
    <xdr:from>
      <xdr:col>13</xdr:col>
      <xdr:colOff>353366</xdr:colOff>
      <xdr:row>71</xdr:row>
      <xdr:rowOff>1</xdr:rowOff>
    </xdr:from>
    <xdr:ext cx="326991" cy="352320"/>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200-00000E000000}"/>
                </a:ext>
              </a:extLst>
            </xdr:cNvPr>
            <xdr:cNvSpPr txBox="1"/>
          </xdr:nvSpPr>
          <xdr:spPr>
            <a:xfrm>
              <a:off x="12983516" y="26822401"/>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rPr>
                          <m:t>𝒕</m:t>
                        </m:r>
                      </m:e>
                      <m:sub>
                        <m:r>
                          <a:rPr lang="es-CO" sz="1400" b="1" i="1" baseline="-25000">
                            <a:latin typeface="Cambria Math" panose="02040503050406030204" pitchFamily="18" charset="0"/>
                          </a:rPr>
                          <m:t>𝟎</m:t>
                        </m:r>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200-00000E000000}"/>
                </a:ext>
              </a:extLst>
            </xdr:cNvPr>
            <xdr:cNvSpPr txBox="1"/>
          </xdr:nvSpPr>
          <xdr:spPr>
            <a:xfrm>
              <a:off x="12983516" y="26822401"/>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rPr>
                <a:t>𝒕_</a:t>
              </a:r>
              <a:r>
                <a:rPr lang="es-CO" sz="1400" b="1" i="0" baseline="-25000">
                  <a:latin typeface="Cambria Math" panose="02040503050406030204" pitchFamily="18" charset="0"/>
                </a:rPr>
                <a:t>𝟎𝑹𝑺</a:t>
              </a:r>
              <a:endParaRPr lang="es-CO" sz="1400" b="1"/>
            </a:p>
          </xdr:txBody>
        </xdr:sp>
      </mc:Fallback>
    </mc:AlternateContent>
    <xdr:clientData/>
  </xdr:oneCellAnchor>
  <xdr:oneCellAnchor>
    <xdr:from>
      <xdr:col>13</xdr:col>
      <xdr:colOff>328244</xdr:colOff>
      <xdr:row>66</xdr:row>
      <xdr:rowOff>120894</xdr:rowOff>
    </xdr:from>
    <xdr:ext cx="229648" cy="355356"/>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200-00000F000000}"/>
                </a:ext>
              </a:extLst>
            </xdr:cNvPr>
            <xdr:cNvSpPr txBox="1"/>
          </xdr:nvSpPr>
          <xdr:spPr>
            <a:xfrm flipH="1">
              <a:off x="12958394" y="25943169"/>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200" b="1" i="1">
                            <a:latin typeface="Cambria Math" panose="02040503050406030204" pitchFamily="18" charset="0"/>
                          </a:rPr>
                        </m:ctrlPr>
                      </m:sSubPr>
                      <m:e>
                        <m:r>
                          <a:rPr lang="es-CO" sz="1200" b="1" i="1">
                            <a:latin typeface="Cambria Math" panose="02040503050406030204" pitchFamily="18" charset="0"/>
                            <a:ea typeface="Cambria Math" panose="02040503050406030204" pitchFamily="18" charset="0"/>
                          </a:rPr>
                          <m:t>𝒕</m:t>
                        </m:r>
                      </m:e>
                      <m:sub>
                        <m:r>
                          <a:rPr lang="es-CO" sz="1200" b="1" i="1" baseline="-25000">
                            <a:latin typeface="Cambria Math" panose="02040503050406030204" pitchFamily="18" charset="0"/>
                          </a:rPr>
                          <m:t>𝑹𝑺</m:t>
                        </m:r>
                      </m:sub>
                    </m:sSub>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0200-00000F000000}"/>
                </a:ext>
              </a:extLst>
            </xdr:cNvPr>
            <xdr:cNvSpPr txBox="1"/>
          </xdr:nvSpPr>
          <xdr:spPr>
            <a:xfrm flipH="1">
              <a:off x="12958394" y="25943169"/>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200" b="1" i="0">
                  <a:latin typeface="Cambria Math" panose="02040503050406030204" pitchFamily="18" charset="0"/>
                  <a:ea typeface="Cambria Math" panose="02040503050406030204" pitchFamily="18" charset="0"/>
                </a:rPr>
                <a:t>𝒕_</a:t>
              </a:r>
              <a:r>
                <a:rPr lang="es-CO" sz="1200" b="1" i="0" baseline="-25000">
                  <a:latin typeface="Cambria Math" panose="02040503050406030204" pitchFamily="18" charset="0"/>
                </a:rPr>
                <a:t>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382885</xdr:colOff>
      <xdr:row>77</xdr:row>
      <xdr:rowOff>25646</xdr:rowOff>
    </xdr:from>
    <xdr:ext cx="169566" cy="250580"/>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id="{00000000-0008-0000-0200-000010000000}"/>
                </a:ext>
              </a:extLst>
            </xdr:cNvPr>
            <xdr:cNvSpPr txBox="1"/>
          </xdr:nvSpPr>
          <xdr:spPr>
            <a:xfrm>
              <a:off x="13013035" y="28162496"/>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𝜷</m:t>
                    </m:r>
                  </m:oMath>
                </m:oMathPara>
              </a14:m>
              <a:endParaRPr lang="es-CO" sz="1400" b="1"/>
            </a:p>
          </xdr:txBody>
        </xdr:sp>
      </mc:Choice>
      <mc:Fallback xmlns="">
        <xdr:sp macro="" textlink="">
          <xdr:nvSpPr>
            <xdr:cNvPr id="16" name="CuadroTexto 15">
              <a:extLst>
                <a:ext uri="{FF2B5EF4-FFF2-40B4-BE49-F238E27FC236}">
                  <a16:creationId xmlns="" xmlns:a16="http://schemas.microsoft.com/office/drawing/2014/main" xmlns:a14="http://schemas.microsoft.com/office/drawing/2010/main" id="{00000000-0008-0000-0200-000010000000}"/>
                </a:ext>
              </a:extLst>
            </xdr:cNvPr>
            <xdr:cNvSpPr txBox="1"/>
          </xdr:nvSpPr>
          <xdr:spPr>
            <a:xfrm>
              <a:off x="13013035" y="28162496"/>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𝜷</a:t>
              </a:r>
              <a:endParaRPr lang="es-CO" sz="1400" b="1"/>
            </a:p>
          </xdr:txBody>
        </xdr:sp>
      </mc:Fallback>
    </mc:AlternateContent>
    <xdr:clientData/>
  </xdr:oneCellAnchor>
  <xdr:oneCellAnchor>
    <xdr:from>
      <xdr:col>13</xdr:col>
      <xdr:colOff>330550</xdr:colOff>
      <xdr:row>68</xdr:row>
      <xdr:rowOff>102263</xdr:rowOff>
    </xdr:from>
    <xdr:ext cx="345726" cy="333375"/>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200-000011000000}"/>
                </a:ext>
              </a:extLst>
            </xdr:cNvPr>
            <xdr:cNvSpPr txBox="1"/>
          </xdr:nvSpPr>
          <xdr:spPr>
            <a:xfrm>
              <a:off x="12960700" y="26381738"/>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𝒕</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0200-000011000000}"/>
                </a:ext>
              </a:extLst>
            </xdr:cNvPr>
            <xdr:cNvSpPr txBox="1"/>
          </xdr:nvSpPr>
          <xdr:spPr>
            <a:xfrm>
              <a:off x="12960700" y="26381738"/>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326678</xdr:colOff>
      <xdr:row>74</xdr:row>
      <xdr:rowOff>108439</xdr:rowOff>
    </xdr:from>
    <xdr:ext cx="334630" cy="333375"/>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200-000012000000}"/>
                </a:ext>
              </a:extLst>
            </xdr:cNvPr>
            <xdr:cNvSpPr txBox="1"/>
          </xdr:nvSpPr>
          <xdr:spPr>
            <a:xfrm>
              <a:off x="12956828" y="27702364"/>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0200-000012000000}"/>
                </a:ext>
              </a:extLst>
            </xdr:cNvPr>
            <xdr:cNvSpPr txBox="1"/>
          </xdr:nvSpPr>
          <xdr:spPr>
            <a:xfrm>
              <a:off x="12956828" y="27702364"/>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297473</xdr:colOff>
      <xdr:row>65</xdr:row>
      <xdr:rowOff>42079</xdr:rowOff>
    </xdr:from>
    <xdr:ext cx="301241" cy="311708"/>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200-000013000000}"/>
                </a:ext>
              </a:extLst>
            </xdr:cNvPr>
            <xdr:cNvSpPr txBox="1"/>
          </xdr:nvSpPr>
          <xdr:spPr>
            <a:xfrm>
              <a:off x="12927623" y="25550029"/>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𝑽</m:t>
                        </m:r>
                      </m:e>
                      <m:sub>
                        <m:r>
                          <a:rPr lang="es-CO" sz="1400" b="1" i="1">
                            <a:latin typeface="Cambria Math" panose="02040503050406030204" pitchFamily="18" charset="0"/>
                          </a:rPr>
                          <m:t>𝟎</m:t>
                        </m:r>
                      </m:sub>
                    </m:sSub>
                  </m:oMath>
                </m:oMathPara>
              </a14:m>
              <a:endParaRPr lang="es-CO" sz="1400" b="1">
                <a:latin typeface="Times New Roman" panose="02020603050405020304" pitchFamily="18" charset="0"/>
                <a:cs typeface="Times New Roman" panose="02020603050405020304" pitchFamily="18" charset="0"/>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0200-000013000000}"/>
                </a:ext>
              </a:extLst>
            </xdr:cNvPr>
            <xdr:cNvSpPr txBox="1"/>
          </xdr:nvSpPr>
          <xdr:spPr>
            <a:xfrm>
              <a:off x="12927623" y="25550029"/>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𝑽_</a:t>
              </a:r>
              <a:r>
                <a:rPr lang="es-CO" sz="1400" b="1" i="0">
                  <a:latin typeface="Cambria Math" panose="02040503050406030204" pitchFamily="18" charset="0"/>
                </a:rPr>
                <a:t>𝟎</a:t>
              </a:r>
              <a:endParaRPr lang="es-CO" sz="1400" b="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357239</xdr:colOff>
      <xdr:row>79</xdr:row>
      <xdr:rowOff>104775</xdr:rowOff>
    </xdr:from>
    <xdr:ext cx="214261" cy="164750"/>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200-000014000000}"/>
                </a:ext>
              </a:extLst>
            </xdr:cNvPr>
            <xdr:cNvSpPr txBox="1"/>
          </xdr:nvSpPr>
          <xdr:spPr>
            <a:xfrm>
              <a:off x="12987389" y="28679775"/>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𝒕</m:t>
                    </m:r>
                  </m:oMath>
                </m:oMathPara>
              </a14:m>
              <a:endParaRPr lang="es-CO" sz="1400" b="1" i="1"/>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0200-000014000000}"/>
                </a:ext>
              </a:extLst>
            </xdr:cNvPr>
            <xdr:cNvSpPr txBox="1"/>
          </xdr:nvSpPr>
          <xdr:spPr>
            <a:xfrm>
              <a:off x="12987389" y="28679775"/>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a:t>
              </a:r>
              <a:endParaRPr lang="es-CO" sz="1400" b="1" i="1"/>
            </a:p>
          </xdr:txBody>
        </xdr:sp>
      </mc:Fallback>
    </mc:AlternateContent>
    <xdr:clientData/>
  </xdr:oneCellAnchor>
  <xdr:oneCellAnchor>
    <xdr:from>
      <xdr:col>10</xdr:col>
      <xdr:colOff>63273</xdr:colOff>
      <xdr:row>5</xdr:row>
      <xdr:rowOff>273699</xdr:rowOff>
    </xdr:from>
    <xdr:ext cx="707536" cy="236155"/>
    <mc:AlternateContent xmlns:mc="http://schemas.openxmlformats.org/markup-compatibility/2006" xmlns:a14="http://schemas.microsoft.com/office/drawing/2010/main">
      <mc:Choice Requires="a14">
        <xdr:sp macro="" textlink="">
          <xdr:nvSpPr>
            <xdr:cNvPr id="21" name="CuadroTexto 20">
              <a:extLst>
                <a:ext uri="{FF2B5EF4-FFF2-40B4-BE49-F238E27FC236}">
                  <a16:creationId xmlns:a16="http://schemas.microsoft.com/office/drawing/2014/main" id="{00000000-0008-0000-0200-000015000000}"/>
                </a:ext>
              </a:extLst>
            </xdr:cNvPr>
            <xdr:cNvSpPr txBox="1"/>
          </xdr:nvSpPr>
          <xdr:spPr>
            <a:xfrm>
              <a:off x="9854973" y="2102499"/>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𝜹</m:t>
                        </m:r>
                      </m:e>
                      <m:sub>
                        <m:r>
                          <a:rPr lang="es-CO" sz="1400" b="1" i="1">
                            <a:latin typeface="Cambria Math" panose="02040503050406030204" pitchFamily="18" charset="0"/>
                            <a:ea typeface="Cambria Math" panose="02040503050406030204" pitchFamily="18" charset="0"/>
                          </a:rPr>
                          <m:t>𝒅𝒓𝒊𝒇𝒕</m:t>
                        </m:r>
                        <m:r>
                          <a:rPr lang="es-CO" sz="1400" b="1" i="1">
                            <a:latin typeface="Cambria Math" panose="02040503050406030204" pitchFamily="18" charset="0"/>
                            <a:ea typeface="Cambria Math" panose="02040503050406030204" pitchFamily="18" charset="0"/>
                          </a:rPr>
                          <m:t> </m:t>
                        </m:r>
                      </m:sub>
                    </m:sSub>
                    <m:r>
                      <a:rPr lang="es-CO" sz="1400" b="1" i="1">
                        <a:latin typeface="Cambria Math" panose="02040503050406030204" pitchFamily="18" charset="0"/>
                        <a:ea typeface="Cambria Math" panose="02040503050406030204" pitchFamily="18" charset="0"/>
                      </a:rPr>
                      <m:t>)</m:t>
                    </m:r>
                  </m:oMath>
                </m:oMathPara>
              </a14:m>
              <a:endParaRPr lang="es-CO" sz="1400" b="1"/>
            </a:p>
          </xdr:txBody>
        </xdr:sp>
      </mc:Choice>
      <mc:Fallback xmlns="">
        <xdr:sp macro="" textlink="">
          <xdr:nvSpPr>
            <xdr:cNvPr id="21" name="CuadroTexto 20">
              <a:extLst>
                <a:ext uri="{FF2B5EF4-FFF2-40B4-BE49-F238E27FC236}">
                  <a16:creationId xmlns:a16="http://schemas.microsoft.com/office/drawing/2014/main" id="{00000000-0008-0000-0300-000015000000}"/>
                </a:ext>
              </a:extLst>
            </xdr:cNvPr>
            <xdr:cNvSpPr txBox="1"/>
          </xdr:nvSpPr>
          <xdr:spPr>
            <a:xfrm>
              <a:off x="9854973" y="2102499"/>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〖(𝜹〗_(𝒅𝒓𝒊𝒇𝒕 ))</a:t>
              </a:r>
              <a:endParaRPr lang="es-CO" sz="1400" b="1"/>
            </a:p>
          </xdr:txBody>
        </xdr:sp>
      </mc:Fallback>
    </mc:AlternateContent>
    <xdr:clientData/>
  </xdr:oneCellAnchor>
  <xdr:oneCellAnchor>
    <xdr:from>
      <xdr:col>3</xdr:col>
      <xdr:colOff>232682</xdr:colOff>
      <xdr:row>114</xdr:row>
      <xdr:rowOff>79080</xdr:rowOff>
    </xdr:from>
    <xdr:ext cx="570140" cy="233883"/>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200-000017000000}"/>
                </a:ext>
              </a:extLst>
            </xdr:cNvPr>
            <xdr:cNvSpPr txBox="1"/>
          </xdr:nvSpPr>
          <xdr:spPr>
            <a:xfrm>
              <a:off x="3785507" y="434654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0200-000019000000}"/>
                </a:ext>
              </a:extLst>
            </xdr:cNvPr>
            <xdr:cNvSpPr txBox="1"/>
          </xdr:nvSpPr>
          <xdr:spPr>
            <a:xfrm>
              <a:off x="3785507" y="434654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228599</xdr:colOff>
      <xdr:row>115</xdr:row>
      <xdr:rowOff>75320</xdr:rowOff>
    </xdr:from>
    <xdr:ext cx="583746" cy="258055"/>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id="{00000000-0008-0000-0200-000018000000}"/>
                </a:ext>
              </a:extLst>
            </xdr:cNvPr>
            <xdr:cNvSpPr txBox="1"/>
          </xdr:nvSpPr>
          <xdr:spPr>
            <a:xfrm>
              <a:off x="3781424" y="43842695"/>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4" name="CuadroTexto 23">
              <a:extLst>
                <a:ext uri="{FF2B5EF4-FFF2-40B4-BE49-F238E27FC236}">
                  <a16:creationId xmlns="" xmlns:a16="http://schemas.microsoft.com/office/drawing/2014/main" xmlns:a14="http://schemas.microsoft.com/office/drawing/2010/main" id="{00000000-0008-0000-0200-00001A000000}"/>
                </a:ext>
              </a:extLst>
            </xdr:cNvPr>
            <xdr:cNvSpPr txBox="1"/>
          </xdr:nvSpPr>
          <xdr:spPr>
            <a:xfrm>
              <a:off x="3781424" y="43842695"/>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11</xdr:col>
      <xdr:colOff>62531</xdr:colOff>
      <xdr:row>118</xdr:row>
      <xdr:rowOff>49428</xdr:rowOff>
    </xdr:from>
    <xdr:ext cx="1344704" cy="493060"/>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200-00001B000000}"/>
                </a:ext>
              </a:extLst>
            </xdr:cNvPr>
            <xdr:cNvSpPr txBox="1"/>
          </xdr:nvSpPr>
          <xdr:spPr>
            <a:xfrm>
              <a:off x="10701956" y="45083628"/>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panose="02040503050406030204" pitchFamily="18" charset="0"/>
                          </a:rPr>
                        </m:ctrlPr>
                      </m:sSupPr>
                      <m:e>
                        <m:sSup>
                          <m:sSupPr>
                            <m:ctrlPr>
                              <a:rPr lang="es-CO" sz="1000" b="1" i="1">
                                <a:solidFill>
                                  <a:schemeClr val="tx1"/>
                                </a:solidFill>
                                <a:effectLst/>
                                <a:latin typeface="Cambria Math" panose="02040503050406030204" pitchFamily="18" charset="0"/>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panose="02040503050406030204" pitchFamily="18" charset="0"/>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𝒕</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panose="02040503050406030204" pitchFamily="18" charset="0"/>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panose="02040503050406030204" pitchFamily="18" charset="0"/>
                                    <a:ea typeface="+mn-ea"/>
                                    <a:cs typeface="+mn-cs"/>
                                  </a:rPr>
                                </m:ctrlPr>
                              </m:dPr>
                              <m:e>
                                <m:f>
                                  <m:fPr>
                                    <m:ctrlPr>
                                      <a:rPr lang="es-CO" sz="1000" b="1" i="1">
                                        <a:solidFill>
                                          <a:schemeClr val="tx1"/>
                                        </a:solidFill>
                                        <a:effectLst/>
                                        <a:latin typeface="Cambria Math" panose="02040503050406030204" pitchFamily="18" charset="0"/>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𝑽𝒕</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0200-00001D000000}"/>
                </a:ext>
              </a:extLst>
            </xdr:cNvPr>
            <xdr:cNvSpPr txBox="1"/>
          </xdr:nvSpPr>
          <xdr:spPr>
            <a:xfrm>
              <a:off x="10701956" y="45083628"/>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(𝑽_𝒕)∑_𝒊▒(𝝏𝑽𝒕/𝝏𝒙𝒊(𝒙𝒊))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16</xdr:col>
      <xdr:colOff>628650</xdr:colOff>
      <xdr:row>125</xdr:row>
      <xdr:rowOff>0</xdr:rowOff>
    </xdr:from>
    <xdr:ext cx="65" cy="172227"/>
    <xdr:sp macro="" textlink="">
      <xdr:nvSpPr>
        <xdr:cNvPr id="28" name="CuadroTexto 27">
          <a:extLst>
            <a:ext uri="{FF2B5EF4-FFF2-40B4-BE49-F238E27FC236}">
              <a16:creationId xmlns:a16="http://schemas.microsoft.com/office/drawing/2014/main" id="{00000000-0008-0000-0200-00001C000000}"/>
            </a:ext>
          </a:extLst>
        </xdr:cNvPr>
        <xdr:cNvSpPr txBox="1"/>
      </xdr:nvSpPr>
      <xdr:spPr>
        <a:xfrm>
          <a:off x="16440150" y="48339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id="{00000000-0008-0000-0200-00001D000000}"/>
                </a:ext>
              </a:extLst>
            </xdr:cNvPr>
            <xdr:cNvSpPr txBox="1"/>
          </xdr:nvSpPr>
          <xdr:spPr>
            <a:xfrm>
              <a:off x="3230662" y="316375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panose="02040503050406030204" pitchFamily="18" charset="0"/>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29" name="CuadroTexto 28">
              <a:extLst>
                <a:ext uri="{FF2B5EF4-FFF2-40B4-BE49-F238E27FC236}">
                  <a16:creationId xmlns="" xmlns:a16="http://schemas.microsoft.com/office/drawing/2014/main" xmlns:a14="http://schemas.microsoft.com/office/drawing/2010/main" id="{00000000-0008-0000-0200-00001F000000}"/>
                </a:ext>
              </a:extLst>
            </xdr:cNvPr>
            <xdr:cNvSpPr txBox="1"/>
          </xdr:nvSpPr>
          <xdr:spPr>
            <a:xfrm>
              <a:off x="3230662" y="316375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30" name="CuadroTexto 29">
          <a:extLst>
            <a:ext uri="{FF2B5EF4-FFF2-40B4-BE49-F238E27FC236}">
              <a16:creationId xmlns:a16="http://schemas.microsoft.com/office/drawing/2014/main" id="{00000000-0008-0000-0200-00001E000000}"/>
            </a:ext>
          </a:extLst>
        </xdr:cNvPr>
        <xdr:cNvSpPr txBox="1"/>
      </xdr:nvSpPr>
      <xdr:spPr>
        <a:xfrm>
          <a:off x="52006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31" name="CuadroTexto 30">
          <a:extLst>
            <a:ext uri="{FF2B5EF4-FFF2-40B4-BE49-F238E27FC236}">
              <a16:creationId xmlns:a16="http://schemas.microsoft.com/office/drawing/2014/main" id="{00000000-0008-0000-0200-00001F000000}"/>
            </a:ext>
          </a:extLst>
        </xdr:cNvPr>
        <xdr:cNvSpPr txBox="1"/>
      </xdr:nvSpPr>
      <xdr:spPr>
        <a:xfrm>
          <a:off x="61531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32" name="CuadroTexto 31">
          <a:extLst>
            <a:ext uri="{FF2B5EF4-FFF2-40B4-BE49-F238E27FC236}">
              <a16:creationId xmlns:a16="http://schemas.microsoft.com/office/drawing/2014/main" id="{00000000-0008-0000-0200-000020000000}"/>
            </a:ext>
          </a:extLst>
        </xdr:cNvPr>
        <xdr:cNvSpPr txBox="1"/>
      </xdr:nvSpPr>
      <xdr:spPr>
        <a:xfrm>
          <a:off x="69246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33" name="CuadroTexto 32">
          <a:extLst>
            <a:ext uri="{FF2B5EF4-FFF2-40B4-BE49-F238E27FC236}">
              <a16:creationId xmlns:a16="http://schemas.microsoft.com/office/drawing/2014/main" id="{00000000-0008-0000-0200-000021000000}"/>
            </a:ext>
          </a:extLst>
        </xdr:cNvPr>
        <xdr:cNvSpPr txBox="1"/>
      </xdr:nvSpPr>
      <xdr:spPr>
        <a:xfrm>
          <a:off x="78009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34" name="CuadroTexto 33">
          <a:extLst>
            <a:ext uri="{FF2B5EF4-FFF2-40B4-BE49-F238E27FC236}">
              <a16:creationId xmlns:a16="http://schemas.microsoft.com/office/drawing/2014/main" id="{00000000-0008-0000-0200-000022000000}"/>
            </a:ext>
          </a:extLst>
        </xdr:cNvPr>
        <xdr:cNvSpPr txBox="1"/>
      </xdr:nvSpPr>
      <xdr:spPr>
        <a:xfrm>
          <a:off x="864870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5" name="CuadroTexto 34">
          <a:extLst>
            <a:ext uri="{FF2B5EF4-FFF2-40B4-BE49-F238E27FC236}">
              <a16:creationId xmlns:a16="http://schemas.microsoft.com/office/drawing/2014/main" id="{00000000-0008-0000-0200-000023000000}"/>
            </a:ext>
          </a:extLst>
        </xdr:cNvPr>
        <xdr:cNvSpPr txBox="1"/>
      </xdr:nvSpPr>
      <xdr:spPr>
        <a:xfrm>
          <a:off x="957262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6" name="CuadroTexto 35">
          <a:extLst>
            <a:ext uri="{FF2B5EF4-FFF2-40B4-BE49-F238E27FC236}">
              <a16:creationId xmlns:a16="http://schemas.microsoft.com/office/drawing/2014/main" id="{00000000-0008-0000-0200-000024000000}"/>
            </a:ext>
          </a:extLst>
        </xdr:cNvPr>
        <xdr:cNvSpPr txBox="1"/>
      </xdr:nvSpPr>
      <xdr:spPr>
        <a:xfrm>
          <a:off x="104203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37" name="CuadroTexto 36">
          <a:extLst>
            <a:ext uri="{FF2B5EF4-FFF2-40B4-BE49-F238E27FC236}">
              <a16:creationId xmlns:a16="http://schemas.microsoft.com/office/drawing/2014/main" id="{00000000-0008-0000-0200-000025000000}"/>
            </a:ext>
          </a:extLst>
        </xdr:cNvPr>
        <xdr:cNvSpPr txBox="1"/>
      </xdr:nvSpPr>
      <xdr:spPr>
        <a:xfrm>
          <a:off x="112680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8" name="CuadroTexto 37">
          <a:extLst>
            <a:ext uri="{FF2B5EF4-FFF2-40B4-BE49-F238E27FC236}">
              <a16:creationId xmlns:a16="http://schemas.microsoft.com/office/drawing/2014/main" id="{00000000-0008-0000-0200-000026000000}"/>
            </a:ext>
          </a:extLst>
        </xdr:cNvPr>
        <xdr:cNvSpPr txBox="1"/>
      </xdr:nvSpPr>
      <xdr:spPr>
        <a:xfrm>
          <a:off x="957262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9" name="CuadroTexto 38">
          <a:extLst>
            <a:ext uri="{FF2B5EF4-FFF2-40B4-BE49-F238E27FC236}">
              <a16:creationId xmlns:a16="http://schemas.microsoft.com/office/drawing/2014/main" id="{00000000-0008-0000-0200-000027000000}"/>
            </a:ext>
          </a:extLst>
        </xdr:cNvPr>
        <xdr:cNvSpPr txBox="1"/>
      </xdr:nvSpPr>
      <xdr:spPr>
        <a:xfrm>
          <a:off x="104203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40" name="CuadroTexto 39">
          <a:extLst>
            <a:ext uri="{FF2B5EF4-FFF2-40B4-BE49-F238E27FC236}">
              <a16:creationId xmlns:a16="http://schemas.microsoft.com/office/drawing/2014/main" id="{00000000-0008-0000-0200-000028000000}"/>
            </a:ext>
          </a:extLst>
        </xdr:cNvPr>
        <xdr:cNvSpPr txBox="1"/>
      </xdr:nvSpPr>
      <xdr:spPr>
        <a:xfrm>
          <a:off x="112680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41" name="CuadroTexto 40">
          <a:extLst>
            <a:ext uri="{FF2B5EF4-FFF2-40B4-BE49-F238E27FC236}">
              <a16:creationId xmlns:a16="http://schemas.microsoft.com/office/drawing/2014/main" id="{00000000-0008-0000-0200-000029000000}"/>
            </a:ext>
          </a:extLst>
        </xdr:cNvPr>
        <xdr:cNvSpPr txBox="1"/>
      </xdr:nvSpPr>
      <xdr:spPr>
        <a:xfrm>
          <a:off x="12115800" y="21321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733766</xdr:colOff>
      <xdr:row>48</xdr:row>
      <xdr:rowOff>325551</xdr:rowOff>
    </xdr:from>
    <xdr:to>
      <xdr:col>18</xdr:col>
      <xdr:colOff>422038</xdr:colOff>
      <xdr:row>51</xdr:row>
      <xdr:rowOff>104527</xdr:rowOff>
    </xdr:to>
    <xdr:sp macro="" textlink="">
      <xdr:nvSpPr>
        <xdr:cNvPr id="42" name="Rectángulo redondeado 41">
          <a:extLst>
            <a:ext uri="{FF2B5EF4-FFF2-40B4-BE49-F238E27FC236}">
              <a16:creationId xmlns:a16="http://schemas.microsoft.com/office/drawing/2014/main" id="{00000000-0008-0000-0200-00002A000000}"/>
            </a:ext>
          </a:extLst>
        </xdr:cNvPr>
        <xdr:cNvSpPr/>
      </xdr:nvSpPr>
      <xdr:spPr>
        <a:xfrm>
          <a:off x="733766" y="19318401"/>
          <a:ext cx="17176172" cy="1112476"/>
        </a:xfrm>
        <a:prstGeom prst="roundRect">
          <a:avLst/>
        </a:prstGeom>
        <a:solidFill>
          <a:schemeClr val="tx2">
            <a:lumMod val="75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0</xdr:col>
      <xdr:colOff>1349830</xdr:colOff>
      <xdr:row>49</xdr:row>
      <xdr:rowOff>181315</xdr:rowOff>
    </xdr:from>
    <xdr:ext cx="14948649" cy="519544"/>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0200-00002B000000}"/>
                </a:ext>
              </a:extLst>
            </xdr:cNvPr>
            <xdr:cNvSpPr txBox="1"/>
          </xdr:nvSpPr>
          <xdr:spPr>
            <a:xfrm>
              <a:off x="1349830" y="19745665"/>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a14:m>
                <m:oMath xmlns:m="http://schemas.openxmlformats.org/officeDocument/2006/math">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𝒕</m:t>
                      </m:r>
                    </m:sub>
                  </m:sSub>
                </m:oMath>
              </a14:m>
              <a:r>
                <a:rPr lang="es-CO" sz="2800" b="1" i="1">
                  <a:solidFill>
                    <a:schemeClr val="bg1"/>
                  </a:solidFill>
                  <a:effectLst/>
                  <a:latin typeface="+mn-lt"/>
                  <a:ea typeface="+mn-ea"/>
                  <a:cs typeface="+mn-cs"/>
                </a:rPr>
                <a:t>=</a:t>
              </a:r>
              <a:r>
                <a:rPr lang="es-CO" sz="2800" b="1" i="1" baseline="0">
                  <a:solidFill>
                    <a:schemeClr val="bg1"/>
                  </a:solidFill>
                  <a:effectLst/>
                  <a:latin typeface="+mn-lt"/>
                  <a:ea typeface="+mn-ea"/>
                  <a:cs typeface="+mn-cs"/>
                </a:rPr>
                <a:t> </a:t>
              </a:r>
              <a14:m>
                <m:oMath xmlns:m="http://schemas.openxmlformats.org/officeDocument/2006/math">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eqArr>
                        <m:eqArrPr>
                          <m:ctrlPr>
                            <a:rPr lang="es-CO" sz="2800" b="1" i="1">
                              <a:solidFill>
                                <a:schemeClr val="bg1"/>
                              </a:solidFill>
                              <a:effectLst/>
                              <a:latin typeface="Cambria Math" panose="02040503050406030204" pitchFamily="18" charset="0"/>
                              <a:ea typeface="+mn-ea"/>
                              <a:cs typeface="+mn-cs"/>
                            </a:rPr>
                          </m:ctrlPr>
                        </m:eqArrPr>
                        <m:e>
                          <m:r>
                            <a:rPr lang="es-CO" sz="2800" b="1" i="1">
                              <a:solidFill>
                                <a:schemeClr val="bg1"/>
                              </a:solidFill>
                              <a:effectLst/>
                              <a:latin typeface="Cambria Math" panose="02040503050406030204" pitchFamily="18" charset="0"/>
                              <a:ea typeface="+mn-ea"/>
                              <a:cs typeface="+mn-cs"/>
                            </a:rPr>
                            <m:t>𝟎</m:t>
                          </m:r>
                          <m:r>
                            <a:rPr lang="es-CO" sz="2800" b="1" i="1">
                              <a:solidFill>
                                <a:schemeClr val="bg1"/>
                              </a:solidFill>
                              <a:effectLst/>
                              <a:latin typeface="Cambria Math" panose="02040503050406030204" pitchFamily="18" charset="0"/>
                              <a:ea typeface="+mn-ea"/>
                              <a:cs typeface="+mn-cs"/>
                            </a:rPr>
                            <m:t>  </m:t>
                          </m:r>
                        </m:e>
                        <m:e>
                          <m:r>
                            <a:rPr lang="es-CO" sz="2800" b="1" i="1">
                              <a:solidFill>
                                <a:schemeClr val="bg1"/>
                              </a:solidFill>
                              <a:effectLst/>
                              <a:latin typeface="Cambria Math" panose="02040503050406030204" pitchFamily="18" charset="0"/>
                              <a:ea typeface="+mn-ea"/>
                              <a:cs typeface="+mn-cs"/>
                            </a:rPr>
                            <m:t> </m:t>
                          </m:r>
                        </m:e>
                      </m:eqArr>
                    </m:sub>
                  </m:sSub>
                  <m:d>
                    <m:dPr>
                      <m:begChr m:val="["/>
                      <m:endChr m:val="]"/>
                      <m:ctrlPr>
                        <a:rPr lang="es-CO" sz="2800" b="1" i="1">
                          <a:solidFill>
                            <a:schemeClr val="bg1"/>
                          </a:solidFill>
                          <a:effectLst/>
                          <a:latin typeface="Cambria Math" panose="02040503050406030204" pitchFamily="18" charset="0"/>
                          <a:ea typeface="+mn-ea"/>
                          <a:cs typeface="+mn-cs"/>
                        </a:rPr>
                      </m:ctrlPr>
                    </m:dPr>
                    <m:e>
                      <m:eqArr>
                        <m:eqArrPr>
                          <m:ctrlPr>
                            <a:rPr lang="es-CO" sz="2800" b="1" i="1">
                              <a:solidFill>
                                <a:schemeClr val="bg1"/>
                              </a:solidFill>
                              <a:effectLst/>
                              <a:latin typeface="Cambria Math" panose="02040503050406030204" pitchFamily="18" charset="0"/>
                              <a:ea typeface="+mn-ea"/>
                              <a:cs typeface="+mn-cs"/>
                            </a:rPr>
                          </m:ctrlPr>
                        </m:eqArrPr>
                        <m:e>
                          <m:r>
                            <a:rPr lang="es-CO" sz="2800" b="1" i="1">
                              <a:solidFill>
                                <a:schemeClr val="bg1"/>
                              </a:solidFill>
                              <a:effectLst/>
                              <a:latin typeface="Cambria Math" panose="02040503050406030204" pitchFamily="18" charset="0"/>
                              <a:ea typeface="+mn-ea"/>
                              <a:cs typeface="+mn-cs"/>
                            </a:rPr>
                            <m:t>𝟏</m:t>
                          </m:r>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𝜸</m:t>
                              </m:r>
                            </m:e>
                            <m:sub>
                              <m:r>
                                <a:rPr lang="es-CO" sz="2800" b="1" i="1">
                                  <a:solidFill>
                                    <a:schemeClr val="bg1"/>
                                  </a:solidFill>
                                  <a:effectLst/>
                                  <a:latin typeface="Cambria Math" panose="02040503050406030204" pitchFamily="18" charset="0"/>
                                  <a:ea typeface="+mn-ea"/>
                                  <a:cs typeface="+mn-cs"/>
                                </a:rPr>
                                <m:t>𝑹𝒔</m:t>
                              </m:r>
                            </m:sub>
                          </m:sSub>
                        </m:e>
                      </m:eqArr>
                      <m:r>
                        <a:rPr lang="es-CO" sz="2800" b="1" i="1">
                          <a:solidFill>
                            <a:schemeClr val="bg1"/>
                          </a:solidFill>
                          <a:effectLst/>
                          <a:latin typeface="Cambria Math" panose="02040503050406030204" pitchFamily="18" charset="0"/>
                          <a:ea typeface="+mn-ea"/>
                          <a:cs typeface="+mn-cs"/>
                        </a:rPr>
                        <m:t> </m:t>
                      </m:r>
                      <m:d>
                        <m:dPr>
                          <m:ctrlPr>
                            <a:rPr lang="es-CO" sz="2800" b="1" i="1">
                              <a:solidFill>
                                <a:schemeClr val="bg1"/>
                              </a:solidFill>
                              <a:effectLst/>
                              <a:latin typeface="Cambria Math" panose="02040503050406030204" pitchFamily="18" charset="0"/>
                              <a:ea typeface="+mn-ea"/>
                              <a:cs typeface="+mn-cs"/>
                            </a:rPr>
                          </m:ctrlPr>
                        </m:dPr>
                        <m:e>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𝟎</m:t>
                              </m:r>
                              <m:r>
                                <a:rPr lang="es-CO" sz="2800" b="1" i="1">
                                  <a:solidFill>
                                    <a:schemeClr val="bg1"/>
                                  </a:solidFill>
                                  <a:effectLst/>
                                  <a:latin typeface="Cambria Math" panose="02040503050406030204" pitchFamily="18" charset="0"/>
                                  <a:ea typeface="+mn-ea"/>
                                  <a:cs typeface="+mn-cs"/>
                                </a:rPr>
                                <m:t>𝑹𝑺</m:t>
                              </m:r>
                            </m:sub>
                          </m:sSub>
                          <m:r>
                            <a:rPr lang="es-CO" sz="2800" b="1" i="1">
                              <a:solidFill>
                                <a:schemeClr val="bg1"/>
                              </a:solidFill>
                              <a:effectLst/>
                              <a:latin typeface="Cambria Math" panose="02040503050406030204" pitchFamily="18" charset="0"/>
                              <a:ea typeface="+mn-ea"/>
                              <a:cs typeface="+mn-cs"/>
                            </a:rPr>
                            <m:t> − </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𝒓𝒔</m:t>
                              </m:r>
                            </m:sub>
                          </m:sSub>
                        </m:e>
                      </m:d>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𝜷</m:t>
                      </m:r>
                      <m:d>
                        <m:dPr>
                          <m:ctrlPr>
                            <a:rPr lang="es-CO" sz="2800" b="1" i="1">
                              <a:solidFill>
                                <a:schemeClr val="bg1"/>
                              </a:solidFill>
                              <a:effectLst/>
                              <a:latin typeface="Cambria Math" panose="02040503050406030204" pitchFamily="18" charset="0"/>
                              <a:ea typeface="+mn-ea"/>
                              <a:cs typeface="+mn-cs"/>
                            </a:rPr>
                          </m:ctrlPr>
                        </m:dPr>
                        <m:e>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𝒔𝒄𝒎</m:t>
                              </m:r>
                            </m:sub>
                          </m:sSub>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𝑹𝑺</m:t>
                              </m:r>
                            </m:sub>
                          </m:sSub>
                          <m:r>
                            <a:rPr lang="es-CO" sz="2800" b="1" i="1">
                              <a:solidFill>
                                <a:schemeClr val="bg1"/>
                              </a:solidFill>
                              <a:effectLst/>
                              <a:latin typeface="Cambria Math" panose="02040503050406030204" pitchFamily="18" charset="0"/>
                              <a:ea typeface="+mn-ea"/>
                              <a:cs typeface="+mn-cs"/>
                            </a:rPr>
                            <m:t> </m:t>
                          </m:r>
                        </m:e>
                      </m:d>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𝜸</m:t>
                          </m:r>
                        </m:e>
                        <m:sub>
                          <m:r>
                            <a:rPr lang="es-CO" sz="2800" b="1" i="1">
                              <a:solidFill>
                                <a:schemeClr val="bg1"/>
                              </a:solidFill>
                              <a:effectLst/>
                              <a:latin typeface="Cambria Math" panose="02040503050406030204" pitchFamily="18" charset="0"/>
                              <a:ea typeface="+mn-ea"/>
                              <a:cs typeface="+mn-cs"/>
                            </a:rPr>
                            <m:t>𝑺𝑪𝑴</m:t>
                          </m:r>
                        </m:sub>
                      </m:sSub>
                      <m:r>
                        <a:rPr lang="es-CO" sz="2800" b="1" i="1">
                          <a:solidFill>
                            <a:schemeClr val="bg1"/>
                          </a:solidFill>
                          <a:effectLst/>
                          <a:latin typeface="Cambria Math" panose="02040503050406030204" pitchFamily="18" charset="0"/>
                          <a:ea typeface="+mn-ea"/>
                          <a:cs typeface="+mn-cs"/>
                        </a:rPr>
                        <m:t> </m:t>
                      </m:r>
                      <m:d>
                        <m:dPr>
                          <m:ctrlPr>
                            <a:rPr lang="es-CO" sz="2800" b="1" i="1">
                              <a:solidFill>
                                <a:schemeClr val="bg1"/>
                              </a:solidFill>
                              <a:effectLst/>
                              <a:latin typeface="Cambria Math" panose="02040503050406030204" pitchFamily="18" charset="0"/>
                              <a:ea typeface="+mn-ea"/>
                              <a:cs typeface="+mn-cs"/>
                            </a:rPr>
                          </m:ctrlPr>
                        </m:dPr>
                        <m:e>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𝒕</m:t>
                          </m:r>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𝑺𝑪𝑴</m:t>
                              </m:r>
                            </m:sub>
                          </m:sSub>
                        </m:e>
                      </m:d>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𝒎𝒆𝒏</m:t>
                          </m:r>
                        </m:sub>
                      </m:sSub>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𝒓𝒆𝒑</m:t>
                          </m:r>
                        </m:sub>
                      </m:sSub>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𝒂𝒅𝒅</m:t>
                          </m:r>
                        </m:sub>
                      </m:sSub>
                      <m:r>
                        <a:rPr lang="es-CO" sz="2800" b="1" i="1">
                          <a:solidFill>
                            <a:schemeClr val="bg1"/>
                          </a:solidFill>
                          <a:effectLst/>
                          <a:latin typeface="Cambria Math" panose="02040503050406030204" pitchFamily="18" charset="0"/>
                          <a:ea typeface="+mn-ea"/>
                          <a:cs typeface="+mn-cs"/>
                        </a:rPr>
                        <m:t> </m:t>
                      </m:r>
                    </m:e>
                  </m:d>
                </m:oMath>
              </a14:m>
              <a:endParaRPr lang="es-CO" sz="2800">
                <a:solidFill>
                  <a:schemeClr val="bg1"/>
                </a:solidFill>
              </a:endParaRP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0200-00002D000000}"/>
                </a:ext>
              </a:extLst>
            </xdr:cNvPr>
            <xdr:cNvSpPr txBox="1"/>
          </xdr:nvSpPr>
          <xdr:spPr>
            <a:xfrm>
              <a:off x="1349830" y="19745665"/>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a:r>
                <a:rPr lang="es-CO" sz="2800" b="1" i="0">
                  <a:solidFill>
                    <a:schemeClr val="bg1"/>
                  </a:solidFill>
                  <a:effectLst/>
                  <a:latin typeface="Cambria Math" panose="02040503050406030204" pitchFamily="18" charset="0"/>
                  <a:ea typeface="+mn-ea"/>
                  <a:cs typeface="+mn-cs"/>
                </a:rPr>
                <a:t>𝑽_𝒕</a:t>
              </a:r>
              <a:r>
                <a:rPr lang="es-CO" sz="2800" b="1" i="1">
                  <a:solidFill>
                    <a:schemeClr val="bg1"/>
                  </a:solidFill>
                  <a:effectLst/>
                  <a:latin typeface="+mn-lt"/>
                  <a:ea typeface="+mn-ea"/>
                  <a:cs typeface="+mn-cs"/>
                </a:rPr>
                <a:t>=</a:t>
              </a:r>
              <a:r>
                <a:rPr lang="es-CO" sz="2800" b="1" i="1" baseline="0">
                  <a:solidFill>
                    <a:schemeClr val="bg1"/>
                  </a:solidFill>
                  <a:effectLst/>
                  <a:latin typeface="+mn-lt"/>
                  <a:ea typeface="+mn-ea"/>
                  <a:cs typeface="+mn-cs"/>
                </a:rPr>
                <a:t> </a:t>
              </a:r>
              <a:r>
                <a:rPr lang="es-CO" sz="2800" b="1" i="0">
                  <a:solidFill>
                    <a:schemeClr val="bg1"/>
                  </a:solidFill>
                  <a:effectLst/>
                  <a:latin typeface="Cambria Math" panose="02040503050406030204" pitchFamily="18" charset="0"/>
                  <a:ea typeface="+mn-ea"/>
                  <a:cs typeface="+mn-cs"/>
                </a:rPr>
                <a:t>𝑽_█(𝟎  @ ) [█(𝟏−𝜸_𝑹𝒔 ) (𝒕_𝟎𝑹𝑺  − 𝒕_𝒓𝒔 )+𝜷(𝒕_𝒔𝒄𝒎−𝒕_𝑹𝑺  )+𝜸_𝑺𝑪𝑴  ( 𝒕−𝒕_𝑺𝑪𝑴 )]   +𝜹𝑽_𝒎𝒆𝒏+ 𝜹𝑽_𝒓𝒆𝒑+𝜹𝑽_𝒂𝒅𝒅  ]</a:t>
              </a:r>
              <a:endParaRPr lang="es-CO" sz="28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200-000032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50" name="CuadroTexto 49">
              <a:extLst>
                <a:ext uri="{FF2B5EF4-FFF2-40B4-BE49-F238E27FC236}">
                  <a16:creationId xmlns="" xmlns:a16="http://schemas.microsoft.com/office/drawing/2014/main" xmlns:a14="http://schemas.microsoft.com/office/drawing/2010/main" id="{00000000-0008-0000-0200-00003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0200-000033000000}"/>
                </a:ext>
              </a:extLst>
            </xdr:cNvPr>
            <xdr:cNvSpPr txBox="1"/>
          </xdr:nvSpPr>
          <xdr:spPr>
            <a:xfrm>
              <a:off x="5032171" y="233770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51" name="CuadroTexto 50">
              <a:extLst>
                <a:ext uri="{FF2B5EF4-FFF2-40B4-BE49-F238E27FC236}">
                  <a16:creationId xmlns="" xmlns:a16="http://schemas.microsoft.com/office/drawing/2014/main" xmlns:a14="http://schemas.microsoft.com/office/drawing/2010/main" id="{00000000-0008-0000-0200-000035000000}"/>
                </a:ext>
              </a:extLst>
            </xdr:cNvPr>
            <xdr:cNvSpPr txBox="1"/>
          </xdr:nvSpPr>
          <xdr:spPr>
            <a:xfrm>
              <a:off x="5032171" y="233770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52" name="Gráfico 51">
          <a:extLst>
            <a:ext uri="{FF2B5EF4-FFF2-40B4-BE49-F238E27FC236}">
              <a16:creationId xmlns:a16="http://schemas.microsoft.com/office/drawing/2014/main" id="{00000000-0008-0000-02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53" name="Gráfico 52">
          <a:extLst>
            <a:ext uri="{FF2B5EF4-FFF2-40B4-BE49-F238E27FC236}">
              <a16:creationId xmlns:a16="http://schemas.microsoft.com/office/drawing/2014/main" id="{00000000-0008-0000-02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71437</xdr:colOff>
      <xdr:row>36</xdr:row>
      <xdr:rowOff>47625</xdr:rowOff>
    </xdr:from>
    <xdr:to>
      <xdr:col>18</xdr:col>
      <xdr:colOff>539369</xdr:colOff>
      <xdr:row>39</xdr:row>
      <xdr:rowOff>64635</xdr:rowOff>
    </xdr:to>
    <xdr:graphicFrame macro="">
      <xdr:nvGraphicFramePr>
        <xdr:cNvPr id="54" name="Gráfico 53">
          <a:extLst>
            <a:ext uri="{FF2B5EF4-FFF2-40B4-BE49-F238E27FC236}">
              <a16:creationId xmlns:a16="http://schemas.microsoft.com/office/drawing/2014/main" id="{00000000-0008-0000-02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642937</xdr:colOff>
      <xdr:row>36</xdr:row>
      <xdr:rowOff>95250</xdr:rowOff>
    </xdr:from>
    <xdr:to>
      <xdr:col>21</xdr:col>
      <xdr:colOff>491744</xdr:colOff>
      <xdr:row>39</xdr:row>
      <xdr:rowOff>112260</xdr:rowOff>
    </xdr:to>
    <xdr:graphicFrame macro="">
      <xdr:nvGraphicFramePr>
        <xdr:cNvPr id="55" name="Gráfico 54">
          <a:extLst>
            <a:ext uri="{FF2B5EF4-FFF2-40B4-BE49-F238E27FC236}">
              <a16:creationId xmlns:a16="http://schemas.microsoft.com/office/drawing/2014/main" id="{00000000-0008-0000-02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619125</xdr:colOff>
      <xdr:row>36</xdr:row>
      <xdr:rowOff>95250</xdr:rowOff>
    </xdr:from>
    <xdr:to>
      <xdr:col>24</xdr:col>
      <xdr:colOff>467932</xdr:colOff>
      <xdr:row>39</xdr:row>
      <xdr:rowOff>112260</xdr:rowOff>
    </xdr:to>
    <xdr:graphicFrame macro="">
      <xdr:nvGraphicFramePr>
        <xdr:cNvPr id="56" name="Gráfico 55">
          <a:extLst>
            <a:ext uri="{FF2B5EF4-FFF2-40B4-BE49-F238E27FC236}">
              <a16:creationId xmlns:a16="http://schemas.microsoft.com/office/drawing/2014/main" id="{00000000-0008-0000-02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xdr:col>
      <xdr:colOff>69056</xdr:colOff>
      <xdr:row>117</xdr:row>
      <xdr:rowOff>37080</xdr:rowOff>
    </xdr:from>
    <xdr:ext cx="960204" cy="444774"/>
    <mc:AlternateContent xmlns:mc="http://schemas.openxmlformats.org/markup-compatibility/2006" xmlns:a14="http://schemas.microsoft.com/office/drawing/2010/main">
      <mc:Choice Requires="a14">
        <xdr:sp macro="" textlink="">
          <xdr:nvSpPr>
            <xdr:cNvPr id="61" name="CuadroTexto 60">
              <a:extLst>
                <a:ext uri="{FF2B5EF4-FFF2-40B4-BE49-F238E27FC236}">
                  <a16:creationId xmlns:a16="http://schemas.microsoft.com/office/drawing/2014/main" id="{00000000-0008-0000-0200-00003D000000}"/>
                </a:ext>
              </a:extLst>
            </xdr:cNvPr>
            <xdr:cNvSpPr txBox="1"/>
          </xdr:nvSpPr>
          <xdr:spPr>
            <a:xfrm>
              <a:off x="3621321" y="47112992"/>
              <a:ext cx="960204" cy="4447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ctr"/>
              <a14:m>
                <m:oMath xmlns:m="http://schemas.openxmlformats.org/officeDocument/2006/math">
                  <m:sSub>
                    <m:sSubPr>
                      <m:ctrlPr>
                        <a:rPr lang="es-CO" sz="900" b="1" i="1">
                          <a:solidFill>
                            <a:sysClr val="windowText" lastClr="000000"/>
                          </a:solidFill>
                          <a:latin typeface="Cambria Math" panose="02040503050406030204" pitchFamily="18" charset="0"/>
                        </a:rPr>
                      </m:ctrlPr>
                    </m:sSubPr>
                    <m:e>
                      <m:r>
                        <a:rPr lang="es-CO" sz="900" b="1" i="1">
                          <a:solidFill>
                            <a:sysClr val="windowText" lastClr="000000"/>
                          </a:solidFill>
                          <a:latin typeface="Cambria Math" panose="02040503050406030204" pitchFamily="18" charset="0"/>
                          <a:ea typeface="Cambria Math" panose="02040503050406030204" pitchFamily="18" charset="0"/>
                        </a:rPr>
                        <m:t>𝜹</m:t>
                      </m:r>
                      <m:r>
                        <a:rPr lang="es-CO" sz="900" b="1" i="1">
                          <a:solidFill>
                            <a:sysClr val="windowText" lastClr="000000"/>
                          </a:solidFill>
                          <a:latin typeface="Cambria Math" panose="02040503050406030204" pitchFamily="18" charset="0"/>
                          <a:ea typeface="Cambria Math" panose="02040503050406030204" pitchFamily="18" charset="0"/>
                        </a:rPr>
                        <m:t>𝑽</m:t>
                      </m:r>
                    </m:e>
                    <m:sub>
                      <m:r>
                        <a:rPr lang="es-CO" sz="900" b="1" i="1">
                          <a:solidFill>
                            <a:sysClr val="windowText" lastClr="000000"/>
                          </a:solidFill>
                          <a:latin typeface="Cambria Math" panose="02040503050406030204" pitchFamily="18" charset="0"/>
                        </a:rPr>
                        <m:t>𝒂𝒅𝒅</m:t>
                      </m:r>
                    </m:sub>
                  </m:sSub>
                </m:oMath>
              </a14:m>
              <a:r>
                <a:rPr lang="es-CO" sz="900" b="1">
                  <a:solidFill>
                    <a:sysClr val="windowText" lastClr="000000"/>
                  </a:solidFill>
                </a:rPr>
                <a:t> burbujas, evaporación,</a:t>
              </a:r>
              <a:r>
                <a:rPr lang="es-CO" sz="900" b="1" baseline="0">
                  <a:solidFill>
                    <a:sysClr val="windowText" lastClr="000000"/>
                  </a:solidFill>
                </a:rPr>
                <a:t> residuo liquido</a:t>
              </a:r>
              <a:endParaRPr lang="es-CO" sz="900" b="1">
                <a:solidFill>
                  <a:sysClr val="windowText" lastClr="000000"/>
                </a:solidFill>
              </a:endParaRPr>
            </a:p>
          </xdr:txBody>
        </xdr:sp>
      </mc:Choice>
      <mc:Fallback xmlns="">
        <xdr:sp macro="" textlink="">
          <xdr:nvSpPr>
            <xdr:cNvPr id="61" name="CuadroTexto 60">
              <a:extLst>
                <a:ext uri="{FF2B5EF4-FFF2-40B4-BE49-F238E27FC236}">
                  <a16:creationId xmlns:a16="http://schemas.microsoft.com/office/drawing/2014/main" xmlns="" xmlns:a14="http://schemas.microsoft.com/office/drawing/2010/main" id="{00000000-0008-0000-0200-00003D000000}"/>
                </a:ext>
              </a:extLst>
            </xdr:cNvPr>
            <xdr:cNvSpPr txBox="1"/>
          </xdr:nvSpPr>
          <xdr:spPr>
            <a:xfrm>
              <a:off x="3621321" y="47112992"/>
              <a:ext cx="960204" cy="4447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ctr"/>
              <a:r>
                <a:rPr lang="es-CO" sz="900" b="1" i="0">
                  <a:solidFill>
                    <a:sysClr val="windowText" lastClr="000000"/>
                  </a:solidFill>
                  <a:latin typeface="Cambria Math"/>
                </a:rPr>
                <a:t>〖</a:t>
              </a:r>
              <a:r>
                <a:rPr lang="es-CO" sz="900" b="1" i="0">
                  <a:solidFill>
                    <a:sysClr val="windowText" lastClr="000000"/>
                  </a:solidFill>
                  <a:latin typeface="Cambria Math" panose="02040503050406030204" pitchFamily="18" charset="0"/>
                  <a:ea typeface="Cambria Math" panose="02040503050406030204" pitchFamily="18" charset="0"/>
                </a:rPr>
                <a:t>𝜹𝑽</a:t>
              </a:r>
              <a:r>
                <a:rPr lang="es-CO" sz="900" b="1" i="0">
                  <a:solidFill>
                    <a:sysClr val="windowText" lastClr="000000"/>
                  </a:solidFill>
                  <a:latin typeface="Cambria Math"/>
                  <a:ea typeface="Cambria Math" panose="02040503050406030204" pitchFamily="18" charset="0"/>
                </a:rPr>
                <a:t>〗_</a:t>
              </a:r>
              <a:r>
                <a:rPr lang="es-CO" sz="900" b="1" i="0">
                  <a:solidFill>
                    <a:sysClr val="windowText" lastClr="000000"/>
                  </a:solidFill>
                  <a:latin typeface="Cambria Math" panose="02040503050406030204" pitchFamily="18" charset="0"/>
                </a:rPr>
                <a:t>𝒂𝒅𝒅</a:t>
              </a:r>
              <a:r>
                <a:rPr lang="es-CO" sz="900" b="1">
                  <a:solidFill>
                    <a:sysClr val="windowText" lastClr="000000"/>
                  </a:solidFill>
                </a:rPr>
                <a:t> burbujas, evaporación,</a:t>
              </a:r>
              <a:r>
                <a:rPr lang="es-CO" sz="900" b="1" baseline="0">
                  <a:solidFill>
                    <a:sysClr val="windowText" lastClr="000000"/>
                  </a:solidFill>
                </a:rPr>
                <a:t> residuo liquido</a:t>
              </a:r>
              <a:endParaRPr lang="es-CO" sz="900" b="1">
                <a:solidFill>
                  <a:sysClr val="windowText" lastClr="000000"/>
                </a:solidFill>
              </a:endParaRPr>
            </a:p>
          </xdr:txBody>
        </xdr:sp>
      </mc:Fallback>
    </mc:AlternateContent>
    <xdr:clientData/>
  </xdr:oneCellAnchor>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60" name="CuadroTexto 59">
              <a:extLst>
                <a:ext uri="{FF2B5EF4-FFF2-40B4-BE49-F238E27FC236}">
                  <a16:creationId xmlns:a16="http://schemas.microsoft.com/office/drawing/2014/main" id="{00000000-0008-0000-0200-00003C000000}"/>
                </a:ext>
              </a:extLst>
            </xdr:cNvPr>
            <xdr:cNvSpPr txBox="1"/>
          </xdr:nvSpPr>
          <xdr:spPr>
            <a:xfrm>
              <a:off x="5345639" y="233720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60" name="CuadroTexto 59">
              <a:extLst>
                <a:ext uri="{FF2B5EF4-FFF2-40B4-BE49-F238E27FC236}">
                  <a16:creationId xmlns:a16="http://schemas.microsoft.com/office/drawing/2014/main" id="{00000000-0008-0000-0100-000003000000}"/>
                </a:ext>
              </a:extLst>
            </xdr:cNvPr>
            <xdr:cNvSpPr txBox="1"/>
          </xdr:nvSpPr>
          <xdr:spPr>
            <a:xfrm>
              <a:off x="5345639" y="233720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62" name="CuadroTexto 61">
              <a:extLst>
                <a:ext uri="{FF2B5EF4-FFF2-40B4-BE49-F238E27FC236}">
                  <a16:creationId xmlns:a16="http://schemas.microsoft.com/office/drawing/2014/main" id="{00000000-0008-0000-0200-00003E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62" name="CuadroTexto 61">
              <a:extLst>
                <a:ext uri="{FF2B5EF4-FFF2-40B4-BE49-F238E27FC236}">
                  <a16:creationId xmlns:a16="http://schemas.microsoft.com/office/drawing/2014/main" id="{00000000-0008-0000-0100-00000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665017</xdr:colOff>
      <xdr:row>65</xdr:row>
      <xdr:rowOff>6060</xdr:rowOff>
    </xdr:from>
    <xdr:ext cx="4533485" cy="366280"/>
    <mc:AlternateContent xmlns:mc="http://schemas.openxmlformats.org/markup-compatibility/2006" xmlns:a14="http://schemas.microsoft.com/office/drawing/2010/main">
      <mc:Choice Requires="a14">
        <xdr:sp macro="" textlink="">
          <xdr:nvSpPr>
            <xdr:cNvPr id="80" name="CuadroTexto 79">
              <a:extLst>
                <a:ext uri="{FF2B5EF4-FFF2-40B4-BE49-F238E27FC236}">
                  <a16:creationId xmlns:a16="http://schemas.microsoft.com/office/drawing/2014/main" id="{00000000-0008-0000-0200-000050000000}"/>
                </a:ext>
              </a:extLst>
            </xdr:cNvPr>
            <xdr:cNvSpPr txBox="1"/>
          </xdr:nvSpPr>
          <xdr:spPr>
            <a:xfrm>
              <a:off x="5237017" y="27018960"/>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algn="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right"/>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𝑽𝒕</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r>
                          <a:rPr lang="es-CO" sz="1100" b="1" i="1" baseline="-25000">
                            <a:solidFill>
                              <a:schemeClr val="tx1"/>
                            </a:solidFill>
                            <a:effectLst/>
                            <a:latin typeface="Cambria Math" panose="02040503050406030204" pitchFamily="18" charset="0"/>
                            <a:ea typeface="+mn-ea"/>
                            <a:cs typeface="+mn-cs"/>
                          </a:rPr>
                          <m:t>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𝟎</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𝜷</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e>
                    </m:d>
                    <m:r>
                      <a:rPr lang="es-CO" sz="1100" b="1" i="1">
                        <a:solidFill>
                          <a:schemeClr val="tx1"/>
                        </a:solidFill>
                        <a:effectLst/>
                        <a:latin typeface="Cambria Math" panose="02040503050406030204" pitchFamily="18" charset="0"/>
                        <a:ea typeface="+mn-ea"/>
                        <a:cs typeface="+mn-cs"/>
                      </a:rPr>
                      <m:t>]</m:t>
                    </m:r>
                  </m:oMath>
                </m:oMathPara>
              </a14:m>
              <a:endParaRPr lang="es-CO" sz="1100">
                <a:effectLst/>
              </a:endParaRPr>
            </a:p>
            <a:p>
              <a:pPr algn="r"/>
              <a:endParaRPr lang="es-CO" sz="1100"/>
            </a:p>
          </xdr:txBody>
        </xdr:sp>
      </mc:Choice>
      <mc:Fallback xmlns="">
        <xdr:sp macro="" textlink="">
          <xdr:nvSpPr>
            <xdr:cNvPr id="80" name="CuadroTexto 79">
              <a:extLst>
                <a:ext uri="{FF2B5EF4-FFF2-40B4-BE49-F238E27FC236}">
                  <a16:creationId xmlns:a16="http://schemas.microsoft.com/office/drawing/2014/main" xmlns="" xmlns:a14="http://schemas.microsoft.com/office/drawing/2010/main" id="{00000000-0008-0000-0100-000018000000}"/>
                </a:ext>
              </a:extLst>
            </xdr:cNvPr>
            <xdr:cNvSpPr txBox="1"/>
          </xdr:nvSpPr>
          <xdr:spPr>
            <a:xfrm>
              <a:off x="5237017" y="27018960"/>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algn="r"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𝝏𝑽𝒕</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𝝏𝑽</a:t>
              </a:r>
              <a:r>
                <a:rPr lang="es-CO" sz="1100" b="1" i="0" baseline="-25000">
                  <a:solidFill>
                    <a:schemeClr val="tx1"/>
                  </a:solidFill>
                  <a:effectLst/>
                  <a:latin typeface="Cambria Math" panose="02040503050406030204" pitchFamily="18" charset="0"/>
                  <a:ea typeface="+mn-ea"/>
                  <a:cs typeface="+mn-cs"/>
                </a:rPr>
                <a:t>𝟎</a:t>
              </a:r>
              <a:r>
                <a:rPr lang="es-CO" sz="1100" b="1" i="0">
                  <a:solidFill>
                    <a:schemeClr val="tx1"/>
                  </a:solidFill>
                  <a:effectLst/>
                  <a:latin typeface="Cambria Math" panose="02040503050406030204" pitchFamily="18" charset="0"/>
                  <a:ea typeface="+mn-ea"/>
                  <a:cs typeface="+mn-cs"/>
                </a:rPr>
                <a:t>=[𝟏−𝜸</a:t>
              </a:r>
              <a:r>
                <a:rPr lang="es-CO" sz="1100" b="1" i="0" baseline="-25000">
                  <a:solidFill>
                    <a:schemeClr val="tx1"/>
                  </a:solidFill>
                  <a:effectLst/>
                  <a:latin typeface="Cambria Math" panose="02040503050406030204" pitchFamily="18" charset="0"/>
                  <a:ea typeface="+mn-ea"/>
                  <a:cs typeface="+mn-cs"/>
                </a:rPr>
                <a:t>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𝟎𝑹𝑺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solidFill>
                    <a:schemeClr val="tx1"/>
                  </a:solidFill>
                  <a:effectLst/>
                  <a:latin typeface="Cambria Math" panose="02040503050406030204" pitchFamily="18" charset="0"/>
                  <a:ea typeface="+mn-ea"/>
                  <a:cs typeface="+mn-cs"/>
                </a:rPr>
                <a:t>+𝜷∗</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solidFill>
                    <a:schemeClr val="tx1"/>
                  </a:solidFill>
                  <a:effectLst/>
                  <a:latin typeface="Cambria Math" panose="02040503050406030204" pitchFamily="18" charset="0"/>
                  <a:ea typeface="+mn-ea"/>
                  <a:cs typeface="+mn-cs"/>
                </a:rPr>
                <a:t>+𝜸</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solidFill>
                    <a:schemeClr val="tx1"/>
                  </a:solidFill>
                  <a:effectLst/>
                  <a:latin typeface="Cambria Math" panose="02040503050406030204" pitchFamily="18" charset="0"/>
                  <a:ea typeface="+mn-ea"/>
                  <a:cs typeface="+mn-cs"/>
                </a:rPr>
                <a:t>]</a:t>
              </a:r>
              <a:endParaRPr lang="es-CO" sz="1100">
                <a:effectLst/>
              </a:endParaRPr>
            </a:p>
            <a:p>
              <a:pPr algn="r"/>
              <a:endParaRPr lang="es-CO" sz="1100"/>
            </a:p>
          </xdr:txBody>
        </xdr:sp>
      </mc:Fallback>
    </mc:AlternateContent>
    <xdr:clientData/>
  </xdr:oneCellAnchor>
  <xdr:oneCellAnchor>
    <xdr:from>
      <xdr:col>3</xdr:col>
      <xdr:colOff>232682</xdr:colOff>
      <xdr:row>114</xdr:row>
      <xdr:rowOff>79080</xdr:rowOff>
    </xdr:from>
    <xdr:ext cx="570140" cy="233883"/>
    <mc:AlternateContent xmlns:mc="http://schemas.openxmlformats.org/markup-compatibility/2006" xmlns:a14="http://schemas.microsoft.com/office/drawing/2010/main">
      <mc:Choice Requires="a14">
        <xdr:sp macro="" textlink="">
          <xdr:nvSpPr>
            <xdr:cNvPr id="81" name="CuadroTexto 80">
              <a:extLst>
                <a:ext uri="{FF2B5EF4-FFF2-40B4-BE49-F238E27FC236}">
                  <a16:creationId xmlns:a16="http://schemas.microsoft.com/office/drawing/2014/main" id="{00000000-0008-0000-0200-000051000000}"/>
                </a:ext>
              </a:extLst>
            </xdr:cNvPr>
            <xdr:cNvSpPr txBox="1"/>
          </xdr:nvSpPr>
          <xdr:spPr>
            <a:xfrm>
              <a:off x="3785507" y="434654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81" name="CuadroTexto 80">
              <a:extLst>
                <a:ext uri="{FF2B5EF4-FFF2-40B4-BE49-F238E27FC236}">
                  <a16:creationId xmlns:a16="http://schemas.microsoft.com/office/drawing/2014/main" id="{00000000-0008-0000-0100-000019000000}"/>
                </a:ext>
              </a:extLst>
            </xdr:cNvPr>
            <xdr:cNvSpPr txBox="1"/>
          </xdr:nvSpPr>
          <xdr:spPr>
            <a:xfrm>
              <a:off x="3785507" y="434654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16</xdr:col>
      <xdr:colOff>628650</xdr:colOff>
      <xdr:row>125</xdr:row>
      <xdr:rowOff>0</xdr:rowOff>
    </xdr:from>
    <xdr:ext cx="65" cy="172227"/>
    <xdr:sp macro="" textlink="">
      <xdr:nvSpPr>
        <xdr:cNvPr id="86" name="CuadroTexto 85">
          <a:extLst>
            <a:ext uri="{FF2B5EF4-FFF2-40B4-BE49-F238E27FC236}">
              <a16:creationId xmlns:a16="http://schemas.microsoft.com/office/drawing/2014/main" id="{00000000-0008-0000-0200-000056000000}"/>
            </a:ext>
          </a:extLst>
        </xdr:cNvPr>
        <xdr:cNvSpPr txBox="1"/>
      </xdr:nvSpPr>
      <xdr:spPr>
        <a:xfrm>
          <a:off x="16440150" y="48339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87" name="CuadroTexto 86">
              <a:extLst>
                <a:ext uri="{FF2B5EF4-FFF2-40B4-BE49-F238E27FC236}">
                  <a16:creationId xmlns:a16="http://schemas.microsoft.com/office/drawing/2014/main" id="{00000000-0008-0000-0200-000057000000}"/>
                </a:ext>
              </a:extLst>
            </xdr:cNvPr>
            <xdr:cNvSpPr txBox="1"/>
          </xdr:nvSpPr>
          <xdr:spPr>
            <a:xfrm>
              <a:off x="3230662" y="316375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panose="02040503050406030204" pitchFamily="18" charset="0"/>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87" name="CuadroTexto 86">
              <a:extLst>
                <a:ext uri="{FF2B5EF4-FFF2-40B4-BE49-F238E27FC236}">
                  <a16:creationId xmlns:a16="http://schemas.microsoft.com/office/drawing/2014/main" id="{00000000-0008-0000-0100-00001F000000}"/>
                </a:ext>
              </a:extLst>
            </xdr:cNvPr>
            <xdr:cNvSpPr txBox="1"/>
          </xdr:nvSpPr>
          <xdr:spPr>
            <a:xfrm>
              <a:off x="3230662" y="316375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88" name="CuadroTexto 87">
          <a:extLst>
            <a:ext uri="{FF2B5EF4-FFF2-40B4-BE49-F238E27FC236}">
              <a16:creationId xmlns:a16="http://schemas.microsoft.com/office/drawing/2014/main" id="{00000000-0008-0000-0200-000058000000}"/>
            </a:ext>
          </a:extLst>
        </xdr:cNvPr>
        <xdr:cNvSpPr txBox="1"/>
      </xdr:nvSpPr>
      <xdr:spPr>
        <a:xfrm>
          <a:off x="52006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89" name="CuadroTexto 88">
          <a:extLst>
            <a:ext uri="{FF2B5EF4-FFF2-40B4-BE49-F238E27FC236}">
              <a16:creationId xmlns:a16="http://schemas.microsoft.com/office/drawing/2014/main" id="{00000000-0008-0000-0200-000059000000}"/>
            </a:ext>
          </a:extLst>
        </xdr:cNvPr>
        <xdr:cNvSpPr txBox="1"/>
      </xdr:nvSpPr>
      <xdr:spPr>
        <a:xfrm>
          <a:off x="61531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90" name="CuadroTexto 89">
          <a:extLst>
            <a:ext uri="{FF2B5EF4-FFF2-40B4-BE49-F238E27FC236}">
              <a16:creationId xmlns:a16="http://schemas.microsoft.com/office/drawing/2014/main" id="{00000000-0008-0000-0200-00005A000000}"/>
            </a:ext>
          </a:extLst>
        </xdr:cNvPr>
        <xdr:cNvSpPr txBox="1"/>
      </xdr:nvSpPr>
      <xdr:spPr>
        <a:xfrm>
          <a:off x="69246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91" name="CuadroTexto 90">
          <a:extLst>
            <a:ext uri="{FF2B5EF4-FFF2-40B4-BE49-F238E27FC236}">
              <a16:creationId xmlns:a16="http://schemas.microsoft.com/office/drawing/2014/main" id="{00000000-0008-0000-0200-00005B000000}"/>
            </a:ext>
          </a:extLst>
        </xdr:cNvPr>
        <xdr:cNvSpPr txBox="1"/>
      </xdr:nvSpPr>
      <xdr:spPr>
        <a:xfrm>
          <a:off x="78009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92" name="CuadroTexto 91">
          <a:extLst>
            <a:ext uri="{FF2B5EF4-FFF2-40B4-BE49-F238E27FC236}">
              <a16:creationId xmlns:a16="http://schemas.microsoft.com/office/drawing/2014/main" id="{00000000-0008-0000-0200-00005C000000}"/>
            </a:ext>
          </a:extLst>
        </xdr:cNvPr>
        <xdr:cNvSpPr txBox="1"/>
      </xdr:nvSpPr>
      <xdr:spPr>
        <a:xfrm>
          <a:off x="864870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93" name="CuadroTexto 92">
          <a:extLst>
            <a:ext uri="{FF2B5EF4-FFF2-40B4-BE49-F238E27FC236}">
              <a16:creationId xmlns:a16="http://schemas.microsoft.com/office/drawing/2014/main" id="{00000000-0008-0000-0200-00005D000000}"/>
            </a:ext>
          </a:extLst>
        </xdr:cNvPr>
        <xdr:cNvSpPr txBox="1"/>
      </xdr:nvSpPr>
      <xdr:spPr>
        <a:xfrm>
          <a:off x="957262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94" name="CuadroTexto 93">
          <a:extLst>
            <a:ext uri="{FF2B5EF4-FFF2-40B4-BE49-F238E27FC236}">
              <a16:creationId xmlns:a16="http://schemas.microsoft.com/office/drawing/2014/main" id="{00000000-0008-0000-0200-00005E000000}"/>
            </a:ext>
          </a:extLst>
        </xdr:cNvPr>
        <xdr:cNvSpPr txBox="1"/>
      </xdr:nvSpPr>
      <xdr:spPr>
        <a:xfrm>
          <a:off x="104203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95" name="CuadroTexto 94">
          <a:extLst>
            <a:ext uri="{FF2B5EF4-FFF2-40B4-BE49-F238E27FC236}">
              <a16:creationId xmlns:a16="http://schemas.microsoft.com/office/drawing/2014/main" id="{00000000-0008-0000-0200-00005F000000}"/>
            </a:ext>
          </a:extLst>
        </xdr:cNvPr>
        <xdr:cNvSpPr txBox="1"/>
      </xdr:nvSpPr>
      <xdr:spPr>
        <a:xfrm>
          <a:off x="112680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96" name="CuadroTexto 95">
          <a:extLst>
            <a:ext uri="{FF2B5EF4-FFF2-40B4-BE49-F238E27FC236}">
              <a16:creationId xmlns:a16="http://schemas.microsoft.com/office/drawing/2014/main" id="{00000000-0008-0000-0200-000060000000}"/>
            </a:ext>
          </a:extLst>
        </xdr:cNvPr>
        <xdr:cNvSpPr txBox="1"/>
      </xdr:nvSpPr>
      <xdr:spPr>
        <a:xfrm>
          <a:off x="957262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97" name="CuadroTexto 96">
          <a:extLst>
            <a:ext uri="{FF2B5EF4-FFF2-40B4-BE49-F238E27FC236}">
              <a16:creationId xmlns:a16="http://schemas.microsoft.com/office/drawing/2014/main" id="{00000000-0008-0000-0200-000061000000}"/>
            </a:ext>
          </a:extLst>
        </xdr:cNvPr>
        <xdr:cNvSpPr txBox="1"/>
      </xdr:nvSpPr>
      <xdr:spPr>
        <a:xfrm>
          <a:off x="104203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98" name="CuadroTexto 97">
          <a:extLst>
            <a:ext uri="{FF2B5EF4-FFF2-40B4-BE49-F238E27FC236}">
              <a16:creationId xmlns:a16="http://schemas.microsoft.com/office/drawing/2014/main" id="{00000000-0008-0000-0200-000062000000}"/>
            </a:ext>
          </a:extLst>
        </xdr:cNvPr>
        <xdr:cNvSpPr txBox="1"/>
      </xdr:nvSpPr>
      <xdr:spPr>
        <a:xfrm>
          <a:off x="112680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99" name="CuadroTexto 98">
          <a:extLst>
            <a:ext uri="{FF2B5EF4-FFF2-40B4-BE49-F238E27FC236}">
              <a16:creationId xmlns:a16="http://schemas.microsoft.com/office/drawing/2014/main" id="{00000000-0008-0000-0200-000063000000}"/>
            </a:ext>
          </a:extLst>
        </xdr:cNvPr>
        <xdr:cNvSpPr txBox="1"/>
      </xdr:nvSpPr>
      <xdr:spPr>
        <a:xfrm>
          <a:off x="12115800" y="21321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733766</xdr:colOff>
      <xdr:row>48</xdr:row>
      <xdr:rowOff>325551</xdr:rowOff>
    </xdr:from>
    <xdr:to>
      <xdr:col>18</xdr:col>
      <xdr:colOff>422038</xdr:colOff>
      <xdr:row>51</xdr:row>
      <xdr:rowOff>104527</xdr:rowOff>
    </xdr:to>
    <xdr:sp macro="" textlink="">
      <xdr:nvSpPr>
        <xdr:cNvPr id="100" name="Rectángulo redondeado 99">
          <a:extLst>
            <a:ext uri="{FF2B5EF4-FFF2-40B4-BE49-F238E27FC236}">
              <a16:creationId xmlns:a16="http://schemas.microsoft.com/office/drawing/2014/main" id="{00000000-0008-0000-0200-000064000000}"/>
            </a:ext>
          </a:extLst>
        </xdr:cNvPr>
        <xdr:cNvSpPr/>
      </xdr:nvSpPr>
      <xdr:spPr>
        <a:xfrm>
          <a:off x="733766" y="19318401"/>
          <a:ext cx="17176172" cy="1112476"/>
        </a:xfrm>
        <a:prstGeom prst="roundRect">
          <a:avLst/>
        </a:prstGeom>
        <a:solidFill>
          <a:schemeClr val="tx2">
            <a:lumMod val="75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0</xdr:col>
      <xdr:colOff>1349830</xdr:colOff>
      <xdr:row>49</xdr:row>
      <xdr:rowOff>181315</xdr:rowOff>
    </xdr:from>
    <xdr:ext cx="14948649" cy="519544"/>
    <mc:AlternateContent xmlns:mc="http://schemas.openxmlformats.org/markup-compatibility/2006" xmlns:a14="http://schemas.microsoft.com/office/drawing/2010/main">
      <mc:Choice Requires="a14">
        <xdr:sp macro="" textlink="">
          <xdr:nvSpPr>
            <xdr:cNvPr id="101" name="CuadroTexto 100">
              <a:extLst>
                <a:ext uri="{FF2B5EF4-FFF2-40B4-BE49-F238E27FC236}">
                  <a16:creationId xmlns:a16="http://schemas.microsoft.com/office/drawing/2014/main" id="{00000000-0008-0000-0200-000065000000}"/>
                </a:ext>
              </a:extLst>
            </xdr:cNvPr>
            <xdr:cNvSpPr txBox="1"/>
          </xdr:nvSpPr>
          <xdr:spPr>
            <a:xfrm>
              <a:off x="1349830" y="19745665"/>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14:m>
                <m:oMath xmlns:m="http://schemas.openxmlformats.org/officeDocument/2006/math">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𝒕</m:t>
                      </m:r>
                    </m:sub>
                  </m:sSub>
                </m:oMath>
              </a14:m>
              <a:r>
                <a:rPr lang="es-CO" sz="2800" b="1" i="1">
                  <a:solidFill>
                    <a:schemeClr val="bg1"/>
                  </a:solidFill>
                  <a:effectLst/>
                  <a:latin typeface="+mn-lt"/>
                  <a:ea typeface="+mn-ea"/>
                  <a:cs typeface="+mn-cs"/>
                </a:rPr>
                <a:t>=</a:t>
              </a:r>
              <a:r>
                <a:rPr lang="es-CO" sz="2800" b="1" i="1" baseline="0">
                  <a:solidFill>
                    <a:schemeClr val="bg1"/>
                  </a:solidFill>
                  <a:effectLst/>
                  <a:latin typeface="+mn-lt"/>
                  <a:ea typeface="+mn-ea"/>
                  <a:cs typeface="+mn-cs"/>
                </a:rPr>
                <a:t> </a:t>
              </a:r>
              <a14:m>
                <m:oMath xmlns:m="http://schemas.openxmlformats.org/officeDocument/2006/math">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eqArr>
                        <m:eqArrPr>
                          <m:ctrlPr>
                            <a:rPr lang="es-CO" sz="2800" b="1" i="1">
                              <a:solidFill>
                                <a:schemeClr val="bg1"/>
                              </a:solidFill>
                              <a:effectLst/>
                              <a:latin typeface="Cambria Math" panose="02040503050406030204" pitchFamily="18" charset="0"/>
                              <a:ea typeface="+mn-ea"/>
                              <a:cs typeface="+mn-cs"/>
                            </a:rPr>
                          </m:ctrlPr>
                        </m:eqArrPr>
                        <m:e>
                          <m:r>
                            <a:rPr lang="es-CO" sz="2800" b="1" i="1">
                              <a:solidFill>
                                <a:schemeClr val="bg1"/>
                              </a:solidFill>
                              <a:effectLst/>
                              <a:latin typeface="Cambria Math" panose="02040503050406030204" pitchFamily="18" charset="0"/>
                              <a:ea typeface="+mn-ea"/>
                              <a:cs typeface="+mn-cs"/>
                            </a:rPr>
                            <m:t>𝟎</m:t>
                          </m:r>
                          <m:r>
                            <a:rPr lang="es-CO" sz="2800" b="1" i="1">
                              <a:solidFill>
                                <a:schemeClr val="bg1"/>
                              </a:solidFill>
                              <a:effectLst/>
                              <a:latin typeface="Cambria Math" panose="02040503050406030204" pitchFamily="18" charset="0"/>
                              <a:ea typeface="+mn-ea"/>
                              <a:cs typeface="+mn-cs"/>
                            </a:rPr>
                            <m:t>  </m:t>
                          </m:r>
                        </m:e>
                        <m:e>
                          <m:r>
                            <a:rPr lang="es-CO" sz="2800" b="1" i="1">
                              <a:solidFill>
                                <a:schemeClr val="bg1"/>
                              </a:solidFill>
                              <a:effectLst/>
                              <a:latin typeface="Cambria Math" panose="02040503050406030204" pitchFamily="18" charset="0"/>
                              <a:ea typeface="+mn-ea"/>
                              <a:cs typeface="+mn-cs"/>
                            </a:rPr>
                            <m:t> </m:t>
                          </m:r>
                        </m:e>
                      </m:eqArr>
                    </m:sub>
                  </m:sSub>
                  <m:d>
                    <m:dPr>
                      <m:begChr m:val="["/>
                      <m:endChr m:val="]"/>
                      <m:ctrlPr>
                        <a:rPr lang="es-CO" sz="2800" b="1" i="1">
                          <a:solidFill>
                            <a:schemeClr val="bg1"/>
                          </a:solidFill>
                          <a:effectLst/>
                          <a:latin typeface="Cambria Math" panose="02040503050406030204" pitchFamily="18" charset="0"/>
                          <a:ea typeface="+mn-ea"/>
                          <a:cs typeface="+mn-cs"/>
                        </a:rPr>
                      </m:ctrlPr>
                    </m:dPr>
                    <m:e>
                      <m:eqArr>
                        <m:eqArrPr>
                          <m:ctrlPr>
                            <a:rPr lang="es-CO" sz="2800" b="1" i="1">
                              <a:solidFill>
                                <a:schemeClr val="bg1"/>
                              </a:solidFill>
                              <a:effectLst/>
                              <a:latin typeface="Cambria Math" panose="02040503050406030204" pitchFamily="18" charset="0"/>
                              <a:ea typeface="+mn-ea"/>
                              <a:cs typeface="+mn-cs"/>
                            </a:rPr>
                          </m:ctrlPr>
                        </m:eqArrPr>
                        <m:e>
                          <m:r>
                            <a:rPr lang="es-CO" sz="2800" b="1" i="1">
                              <a:solidFill>
                                <a:schemeClr val="bg1"/>
                              </a:solidFill>
                              <a:effectLst/>
                              <a:latin typeface="Cambria Math" panose="02040503050406030204" pitchFamily="18" charset="0"/>
                              <a:ea typeface="+mn-ea"/>
                              <a:cs typeface="+mn-cs"/>
                            </a:rPr>
                            <m:t>𝟏</m:t>
                          </m:r>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𝜸</m:t>
                              </m:r>
                            </m:e>
                            <m:sub>
                              <m:r>
                                <a:rPr lang="es-CO" sz="2800" b="1" i="1">
                                  <a:solidFill>
                                    <a:schemeClr val="bg1"/>
                                  </a:solidFill>
                                  <a:effectLst/>
                                  <a:latin typeface="Cambria Math" panose="02040503050406030204" pitchFamily="18" charset="0"/>
                                  <a:ea typeface="+mn-ea"/>
                                  <a:cs typeface="+mn-cs"/>
                                </a:rPr>
                                <m:t>𝑹𝒔</m:t>
                              </m:r>
                            </m:sub>
                          </m:sSub>
                        </m:e>
                      </m:eqArr>
                      <m:r>
                        <a:rPr lang="es-CO" sz="2800" b="1" i="1">
                          <a:solidFill>
                            <a:schemeClr val="bg1"/>
                          </a:solidFill>
                          <a:effectLst/>
                          <a:latin typeface="Cambria Math" panose="02040503050406030204" pitchFamily="18" charset="0"/>
                          <a:ea typeface="+mn-ea"/>
                          <a:cs typeface="+mn-cs"/>
                        </a:rPr>
                        <m:t> </m:t>
                      </m:r>
                      <m:d>
                        <m:dPr>
                          <m:ctrlPr>
                            <a:rPr lang="es-CO" sz="2800" b="1" i="1">
                              <a:solidFill>
                                <a:schemeClr val="bg1"/>
                              </a:solidFill>
                              <a:effectLst/>
                              <a:latin typeface="Cambria Math" panose="02040503050406030204" pitchFamily="18" charset="0"/>
                              <a:ea typeface="+mn-ea"/>
                              <a:cs typeface="+mn-cs"/>
                            </a:rPr>
                          </m:ctrlPr>
                        </m:dPr>
                        <m:e>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𝟎</m:t>
                              </m:r>
                              <m:r>
                                <a:rPr lang="es-CO" sz="2800" b="1" i="1">
                                  <a:solidFill>
                                    <a:schemeClr val="bg1"/>
                                  </a:solidFill>
                                  <a:effectLst/>
                                  <a:latin typeface="Cambria Math" panose="02040503050406030204" pitchFamily="18" charset="0"/>
                                  <a:ea typeface="+mn-ea"/>
                                  <a:cs typeface="+mn-cs"/>
                                </a:rPr>
                                <m:t>𝑹𝑺</m:t>
                              </m:r>
                            </m:sub>
                          </m:sSub>
                          <m:r>
                            <a:rPr lang="es-CO" sz="2800" b="1" i="1">
                              <a:solidFill>
                                <a:schemeClr val="bg1"/>
                              </a:solidFill>
                              <a:effectLst/>
                              <a:latin typeface="Cambria Math" panose="02040503050406030204" pitchFamily="18" charset="0"/>
                              <a:ea typeface="+mn-ea"/>
                              <a:cs typeface="+mn-cs"/>
                            </a:rPr>
                            <m:t> − </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MX" sz="2800" b="1" i="1">
                                  <a:solidFill>
                                    <a:schemeClr val="bg1"/>
                                  </a:solidFill>
                                  <a:effectLst/>
                                  <a:latin typeface="Cambria Math" panose="02040503050406030204" pitchFamily="18" charset="0"/>
                                  <a:ea typeface="+mn-ea"/>
                                  <a:cs typeface="+mn-cs"/>
                                </a:rPr>
                                <m:t>𝑹𝑺</m:t>
                              </m:r>
                            </m:sub>
                          </m:sSub>
                        </m:e>
                      </m:d>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𝜷</m:t>
                      </m:r>
                      <m:d>
                        <m:dPr>
                          <m:ctrlPr>
                            <a:rPr lang="es-CO" sz="2800" b="1" i="1">
                              <a:solidFill>
                                <a:schemeClr val="bg1"/>
                              </a:solidFill>
                              <a:effectLst/>
                              <a:latin typeface="Cambria Math" panose="02040503050406030204" pitchFamily="18" charset="0"/>
                              <a:ea typeface="+mn-ea"/>
                              <a:cs typeface="+mn-cs"/>
                            </a:rPr>
                          </m:ctrlPr>
                        </m:dPr>
                        <m:e>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MX" sz="2800" b="1" i="1">
                                  <a:solidFill>
                                    <a:schemeClr val="bg1"/>
                                  </a:solidFill>
                                  <a:effectLst/>
                                  <a:latin typeface="Cambria Math" panose="02040503050406030204" pitchFamily="18" charset="0"/>
                                  <a:ea typeface="+mn-ea"/>
                                  <a:cs typeface="+mn-cs"/>
                                </a:rPr>
                                <m:t>𝑺𝑪𝑴</m:t>
                              </m:r>
                            </m:sub>
                          </m:sSub>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𝑹𝑺</m:t>
                              </m:r>
                            </m:sub>
                          </m:sSub>
                          <m:r>
                            <a:rPr lang="es-CO" sz="2800" b="1" i="1">
                              <a:solidFill>
                                <a:schemeClr val="bg1"/>
                              </a:solidFill>
                              <a:effectLst/>
                              <a:latin typeface="Cambria Math" panose="02040503050406030204" pitchFamily="18" charset="0"/>
                              <a:ea typeface="+mn-ea"/>
                              <a:cs typeface="+mn-cs"/>
                            </a:rPr>
                            <m:t> </m:t>
                          </m:r>
                        </m:e>
                      </m:d>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𝜸</m:t>
                          </m:r>
                        </m:e>
                        <m:sub>
                          <m:r>
                            <a:rPr lang="es-CO" sz="2800" b="1" i="1">
                              <a:solidFill>
                                <a:schemeClr val="bg1"/>
                              </a:solidFill>
                              <a:effectLst/>
                              <a:latin typeface="Cambria Math" panose="02040503050406030204" pitchFamily="18" charset="0"/>
                              <a:ea typeface="+mn-ea"/>
                              <a:cs typeface="+mn-cs"/>
                            </a:rPr>
                            <m:t>𝑺𝑪𝑴</m:t>
                          </m:r>
                        </m:sub>
                      </m:sSub>
                      <m:r>
                        <a:rPr lang="es-CO" sz="2800" b="1" i="1">
                          <a:solidFill>
                            <a:schemeClr val="bg1"/>
                          </a:solidFill>
                          <a:effectLst/>
                          <a:latin typeface="Cambria Math" panose="02040503050406030204" pitchFamily="18" charset="0"/>
                          <a:ea typeface="+mn-ea"/>
                          <a:cs typeface="+mn-cs"/>
                        </a:rPr>
                        <m:t> </m:t>
                      </m:r>
                      <m:d>
                        <m:dPr>
                          <m:ctrlPr>
                            <a:rPr lang="es-CO" sz="2800" b="1" i="1">
                              <a:solidFill>
                                <a:schemeClr val="bg1"/>
                              </a:solidFill>
                              <a:effectLst/>
                              <a:latin typeface="Cambria Math" panose="02040503050406030204" pitchFamily="18" charset="0"/>
                              <a:ea typeface="+mn-ea"/>
                              <a:cs typeface="+mn-cs"/>
                            </a:rPr>
                          </m:ctrlPr>
                        </m:dPr>
                        <m:e>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𝒕</m:t>
                          </m:r>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𝑺𝑪𝑴</m:t>
                              </m:r>
                            </m:sub>
                          </m:sSub>
                        </m:e>
                      </m:d>
                    </m:e>
                  </m:d>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𝒎𝒆𝒏</m:t>
                      </m:r>
                    </m:sub>
                  </m:sSub>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𝒓𝒆𝒑</m:t>
                      </m:r>
                    </m:sub>
                  </m:sSub>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𝒂𝒅𝒅</m:t>
                      </m:r>
                    </m:sub>
                  </m:sSub>
                </m:oMath>
              </a14:m>
              <a:endParaRPr lang="es-CO" sz="2800">
                <a:solidFill>
                  <a:schemeClr val="bg1"/>
                </a:solidFill>
              </a:endParaRPr>
            </a:p>
          </xdr:txBody>
        </xdr:sp>
      </mc:Choice>
      <mc:Fallback xmlns="">
        <xdr:sp macro="" textlink="">
          <xdr:nvSpPr>
            <xdr:cNvPr id="101" name="CuadroTexto 100">
              <a:extLst>
                <a:ext uri="{FF2B5EF4-FFF2-40B4-BE49-F238E27FC236}">
                  <a16:creationId xmlns:a16="http://schemas.microsoft.com/office/drawing/2014/main" id="{00000000-0008-0000-0100-00002D000000}"/>
                </a:ext>
              </a:extLst>
            </xdr:cNvPr>
            <xdr:cNvSpPr txBox="1"/>
          </xdr:nvSpPr>
          <xdr:spPr>
            <a:xfrm>
              <a:off x="1349830" y="19745665"/>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r>
                <a:rPr lang="es-CO" sz="2800" b="1" i="0">
                  <a:solidFill>
                    <a:schemeClr val="bg1"/>
                  </a:solidFill>
                  <a:effectLst/>
                  <a:latin typeface="Cambria Math" panose="02040503050406030204" pitchFamily="18" charset="0"/>
                  <a:ea typeface="+mn-ea"/>
                  <a:cs typeface="+mn-cs"/>
                </a:rPr>
                <a:t>𝑽_𝒕</a:t>
              </a:r>
              <a:r>
                <a:rPr lang="es-CO" sz="2800" b="1" i="1">
                  <a:solidFill>
                    <a:schemeClr val="bg1"/>
                  </a:solidFill>
                  <a:effectLst/>
                  <a:latin typeface="+mn-lt"/>
                  <a:ea typeface="+mn-ea"/>
                  <a:cs typeface="+mn-cs"/>
                </a:rPr>
                <a:t>=</a:t>
              </a:r>
              <a:r>
                <a:rPr lang="es-CO" sz="2800" b="1" i="1" baseline="0">
                  <a:solidFill>
                    <a:schemeClr val="bg1"/>
                  </a:solidFill>
                  <a:effectLst/>
                  <a:latin typeface="+mn-lt"/>
                  <a:ea typeface="+mn-ea"/>
                  <a:cs typeface="+mn-cs"/>
                </a:rPr>
                <a:t> </a:t>
              </a:r>
              <a:r>
                <a:rPr lang="es-CO" sz="2800" b="1" i="0">
                  <a:solidFill>
                    <a:schemeClr val="bg1"/>
                  </a:solidFill>
                  <a:effectLst/>
                  <a:latin typeface="Cambria Math" panose="02040503050406030204" pitchFamily="18" charset="0"/>
                  <a:ea typeface="+mn-ea"/>
                  <a:cs typeface="+mn-cs"/>
                </a:rPr>
                <a:t>𝑽_█(𝟎  @ ) [█(𝟏−𝜸_𝑹𝒔 ) (𝒕_𝟎𝑹𝑺  − 𝒕_</a:t>
              </a:r>
              <a:r>
                <a:rPr lang="es-MX" sz="2800" b="1" i="0">
                  <a:solidFill>
                    <a:schemeClr val="bg1"/>
                  </a:solidFill>
                  <a:effectLst/>
                  <a:latin typeface="Cambria Math" panose="02040503050406030204" pitchFamily="18" charset="0"/>
                  <a:ea typeface="+mn-ea"/>
                  <a:cs typeface="+mn-cs"/>
                </a:rPr>
                <a:t>𝑹𝑺 )</a:t>
              </a:r>
              <a:r>
                <a:rPr lang="es-CO" sz="2800" b="1" i="0">
                  <a:solidFill>
                    <a:schemeClr val="bg1"/>
                  </a:solidFill>
                  <a:effectLst/>
                  <a:latin typeface="Cambria Math" panose="02040503050406030204" pitchFamily="18" charset="0"/>
                  <a:ea typeface="+mn-ea"/>
                  <a:cs typeface="+mn-cs"/>
                </a:rPr>
                <a:t>+𝜷(𝒕_</a:t>
              </a:r>
              <a:r>
                <a:rPr lang="es-MX" sz="2800" b="1" i="0">
                  <a:solidFill>
                    <a:schemeClr val="bg1"/>
                  </a:solidFill>
                  <a:effectLst/>
                  <a:latin typeface="Cambria Math" panose="02040503050406030204" pitchFamily="18" charset="0"/>
                  <a:ea typeface="+mn-ea"/>
                  <a:cs typeface="+mn-cs"/>
                </a:rPr>
                <a:t>𝑺𝑪𝑴</a:t>
              </a:r>
              <a:r>
                <a:rPr lang="es-CO" sz="2800" b="1" i="0">
                  <a:solidFill>
                    <a:schemeClr val="bg1"/>
                  </a:solidFill>
                  <a:effectLst/>
                  <a:latin typeface="Cambria Math" panose="02040503050406030204" pitchFamily="18" charset="0"/>
                  <a:ea typeface="+mn-ea"/>
                  <a:cs typeface="+mn-cs"/>
                </a:rPr>
                <a:t>−𝒕_𝑹𝑺  )+𝜸_𝑺𝑪𝑴  ( 𝒕−𝒕_𝑺𝑪𝑴 )</a:t>
              </a:r>
              <a:r>
                <a:rPr lang="es-CO" sz="2800" b="1" i="0">
                  <a:solidFill>
                    <a:schemeClr val="tx1"/>
                  </a:solidFill>
                  <a:effectLst/>
                  <a:latin typeface="Cambria Math" panose="02040503050406030204" pitchFamily="18" charset="0"/>
                  <a:ea typeface="+mn-ea"/>
                  <a:cs typeface="+mn-cs"/>
                </a:rPr>
                <a:t>]</a:t>
              </a:r>
              <a:r>
                <a:rPr lang="es-CO" sz="2800" b="1" i="0">
                  <a:solidFill>
                    <a:schemeClr val="bg1"/>
                  </a:solidFill>
                  <a:effectLst/>
                  <a:latin typeface="Cambria Math" panose="02040503050406030204" pitchFamily="18" charset="0"/>
                  <a:ea typeface="+mn-ea"/>
                  <a:cs typeface="+mn-cs"/>
                </a:rPr>
                <a:t>+𝜹𝑽_𝒎𝒆𝒏+ 𝜹𝑽_𝒓𝒆𝒑+𝜹𝑽_𝒂𝒅𝒅</a:t>
              </a:r>
              <a:endParaRPr lang="es-CO" sz="28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108" name="CuadroTexto 107">
              <a:extLst>
                <a:ext uri="{FF2B5EF4-FFF2-40B4-BE49-F238E27FC236}">
                  <a16:creationId xmlns:a16="http://schemas.microsoft.com/office/drawing/2014/main" id="{00000000-0008-0000-0200-00006C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108" name="CuadroTexto 107">
              <a:extLst>
                <a:ext uri="{FF2B5EF4-FFF2-40B4-BE49-F238E27FC236}">
                  <a16:creationId xmlns:a16="http://schemas.microsoft.com/office/drawing/2014/main" id="{00000000-0008-0000-0100-00003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109" name="CuadroTexto 108">
              <a:extLst>
                <a:ext uri="{FF2B5EF4-FFF2-40B4-BE49-F238E27FC236}">
                  <a16:creationId xmlns:a16="http://schemas.microsoft.com/office/drawing/2014/main" id="{00000000-0008-0000-0200-00006D000000}"/>
                </a:ext>
              </a:extLst>
            </xdr:cNvPr>
            <xdr:cNvSpPr txBox="1"/>
          </xdr:nvSpPr>
          <xdr:spPr>
            <a:xfrm>
              <a:off x="5032171" y="233770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109" name="CuadroTexto 108">
              <a:extLst>
                <a:ext uri="{FF2B5EF4-FFF2-40B4-BE49-F238E27FC236}">
                  <a16:creationId xmlns:a16="http://schemas.microsoft.com/office/drawing/2014/main" id="{00000000-0008-0000-0100-000035000000}"/>
                </a:ext>
              </a:extLst>
            </xdr:cNvPr>
            <xdr:cNvSpPr txBox="1"/>
          </xdr:nvSpPr>
          <xdr:spPr>
            <a:xfrm>
              <a:off x="5032171" y="233770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110" name="Gráfico 109">
          <a:extLst>
            <a:ext uri="{FF2B5EF4-FFF2-40B4-BE49-F238E27FC236}">
              <a16:creationId xmlns:a16="http://schemas.microsoft.com/office/drawing/2014/main" id="{00000000-0008-0000-0200-00006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111" name="Gráfico 110">
          <a:extLst>
            <a:ext uri="{FF2B5EF4-FFF2-40B4-BE49-F238E27FC236}">
              <a16:creationId xmlns:a16="http://schemas.microsoft.com/office/drawing/2014/main" id="{00000000-0008-0000-0200-00006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71437</xdr:colOff>
      <xdr:row>36</xdr:row>
      <xdr:rowOff>47625</xdr:rowOff>
    </xdr:from>
    <xdr:to>
      <xdr:col>18</xdr:col>
      <xdr:colOff>539369</xdr:colOff>
      <xdr:row>39</xdr:row>
      <xdr:rowOff>64635</xdr:rowOff>
    </xdr:to>
    <xdr:graphicFrame macro="">
      <xdr:nvGraphicFramePr>
        <xdr:cNvPr id="112" name="Gráfico 111">
          <a:extLst>
            <a:ext uri="{FF2B5EF4-FFF2-40B4-BE49-F238E27FC236}">
              <a16:creationId xmlns:a16="http://schemas.microsoft.com/office/drawing/2014/main" id="{00000000-0008-0000-0200-00007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642937</xdr:colOff>
      <xdr:row>36</xdr:row>
      <xdr:rowOff>95250</xdr:rowOff>
    </xdr:from>
    <xdr:to>
      <xdr:col>21</xdr:col>
      <xdr:colOff>491744</xdr:colOff>
      <xdr:row>39</xdr:row>
      <xdr:rowOff>112260</xdr:rowOff>
    </xdr:to>
    <xdr:graphicFrame macro="">
      <xdr:nvGraphicFramePr>
        <xdr:cNvPr id="113" name="Gráfico 112">
          <a:extLst>
            <a:ext uri="{FF2B5EF4-FFF2-40B4-BE49-F238E27FC236}">
              <a16:creationId xmlns:a16="http://schemas.microsoft.com/office/drawing/2014/main" id="{00000000-0008-0000-0200-00007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21</xdr:col>
      <xdr:colOff>619125</xdr:colOff>
      <xdr:row>36</xdr:row>
      <xdr:rowOff>95250</xdr:rowOff>
    </xdr:from>
    <xdr:to>
      <xdr:col>24</xdr:col>
      <xdr:colOff>467932</xdr:colOff>
      <xdr:row>39</xdr:row>
      <xdr:rowOff>112260</xdr:rowOff>
    </xdr:to>
    <xdr:graphicFrame macro="">
      <xdr:nvGraphicFramePr>
        <xdr:cNvPr id="114" name="Gráfico 113">
          <a:extLst>
            <a:ext uri="{FF2B5EF4-FFF2-40B4-BE49-F238E27FC236}">
              <a16:creationId xmlns:a16="http://schemas.microsoft.com/office/drawing/2014/main" id="{00000000-0008-0000-02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116" name="CuadroTexto 115">
              <a:extLst>
                <a:ext uri="{FF2B5EF4-FFF2-40B4-BE49-F238E27FC236}">
                  <a16:creationId xmlns:a16="http://schemas.microsoft.com/office/drawing/2014/main" id="{00000000-0008-0000-0200-000074000000}"/>
                </a:ext>
              </a:extLst>
            </xdr:cNvPr>
            <xdr:cNvSpPr txBox="1"/>
          </xdr:nvSpPr>
          <xdr:spPr>
            <a:xfrm>
              <a:off x="5345639" y="240197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116" name="CuadroTexto 115">
              <a:extLst>
                <a:ext uri="{FF2B5EF4-FFF2-40B4-BE49-F238E27FC236}">
                  <a16:creationId xmlns:a16="http://schemas.microsoft.com/office/drawing/2014/main" id="{00000000-0008-0000-0100-000003000000}"/>
                </a:ext>
              </a:extLst>
            </xdr:cNvPr>
            <xdr:cNvSpPr txBox="1"/>
          </xdr:nvSpPr>
          <xdr:spPr>
            <a:xfrm>
              <a:off x="5345639" y="240197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117" name="CuadroTexto 116">
              <a:extLst>
                <a:ext uri="{FF2B5EF4-FFF2-40B4-BE49-F238E27FC236}">
                  <a16:creationId xmlns:a16="http://schemas.microsoft.com/office/drawing/2014/main" id="{00000000-0008-0000-0200-000075000000}"/>
                </a:ext>
              </a:extLst>
            </xdr:cNvPr>
            <xdr:cNvSpPr txBox="1"/>
          </xdr:nvSpPr>
          <xdr:spPr>
            <a:xfrm>
              <a:off x="10149416" y="217455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117" name="CuadroTexto 116">
              <a:extLst>
                <a:ext uri="{FF2B5EF4-FFF2-40B4-BE49-F238E27FC236}">
                  <a16:creationId xmlns:a16="http://schemas.microsoft.com/office/drawing/2014/main" id="{00000000-0008-0000-0100-000004000000}"/>
                </a:ext>
              </a:extLst>
            </xdr:cNvPr>
            <xdr:cNvSpPr txBox="1"/>
          </xdr:nvSpPr>
          <xdr:spPr>
            <a:xfrm>
              <a:off x="10149416" y="217455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3</xdr:col>
      <xdr:colOff>232682</xdr:colOff>
      <xdr:row>114</xdr:row>
      <xdr:rowOff>79080</xdr:rowOff>
    </xdr:from>
    <xdr:ext cx="570140" cy="233883"/>
    <mc:AlternateContent xmlns:mc="http://schemas.openxmlformats.org/markup-compatibility/2006" xmlns:a14="http://schemas.microsoft.com/office/drawing/2010/main">
      <mc:Choice Requires="a14">
        <xdr:sp macro="" textlink="">
          <xdr:nvSpPr>
            <xdr:cNvPr id="135" name="CuadroTexto 134">
              <a:extLst>
                <a:ext uri="{FF2B5EF4-FFF2-40B4-BE49-F238E27FC236}">
                  <a16:creationId xmlns:a16="http://schemas.microsoft.com/office/drawing/2014/main" id="{00000000-0008-0000-0200-000087000000}"/>
                </a:ext>
              </a:extLst>
            </xdr:cNvPr>
            <xdr:cNvSpPr txBox="1"/>
          </xdr:nvSpPr>
          <xdr:spPr>
            <a:xfrm>
              <a:off x="3785507" y="441131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135" name="CuadroTexto 134">
              <a:extLst>
                <a:ext uri="{FF2B5EF4-FFF2-40B4-BE49-F238E27FC236}">
                  <a16:creationId xmlns:a16="http://schemas.microsoft.com/office/drawing/2014/main" id="{00000000-0008-0000-0100-000019000000}"/>
                </a:ext>
              </a:extLst>
            </xdr:cNvPr>
            <xdr:cNvSpPr txBox="1"/>
          </xdr:nvSpPr>
          <xdr:spPr>
            <a:xfrm>
              <a:off x="3785507" y="441131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259154</xdr:colOff>
      <xdr:row>116</xdr:row>
      <xdr:rowOff>159836</xdr:rowOff>
    </xdr:from>
    <xdr:ext cx="446562" cy="276583"/>
    <mc:AlternateContent xmlns:mc="http://schemas.openxmlformats.org/markup-compatibility/2006" xmlns:a14="http://schemas.microsoft.com/office/drawing/2010/main">
      <mc:Choice Requires="a14">
        <xdr:sp macro="" textlink="">
          <xdr:nvSpPr>
            <xdr:cNvPr id="137" name="CuadroTexto 136">
              <a:extLst>
                <a:ext uri="{FF2B5EF4-FFF2-40B4-BE49-F238E27FC236}">
                  <a16:creationId xmlns:a16="http://schemas.microsoft.com/office/drawing/2014/main" id="{00000000-0008-0000-0200-000089000000}"/>
                </a:ext>
              </a:extLst>
            </xdr:cNvPr>
            <xdr:cNvSpPr txBox="1"/>
          </xdr:nvSpPr>
          <xdr:spPr>
            <a:xfrm>
              <a:off x="3811979" y="4495591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𝑟𝑒𝑝</m:t>
                        </m:r>
                      </m:sub>
                    </m:sSub>
                  </m:oMath>
                </m:oMathPara>
              </a14:m>
              <a:endParaRPr lang="es-CO" sz="1200">
                <a:solidFill>
                  <a:sysClr val="windowText" lastClr="000000"/>
                </a:solidFill>
              </a:endParaRPr>
            </a:p>
          </xdr:txBody>
        </xdr:sp>
      </mc:Choice>
      <mc:Fallback xmlns="">
        <xdr:sp macro="" textlink="">
          <xdr:nvSpPr>
            <xdr:cNvPr id="137" name="CuadroTexto 136">
              <a:extLst>
                <a:ext uri="{FF2B5EF4-FFF2-40B4-BE49-F238E27FC236}">
                  <a16:creationId xmlns:a16="http://schemas.microsoft.com/office/drawing/2014/main" id="{00000000-0008-0000-0100-00001B000000}"/>
                </a:ext>
              </a:extLst>
            </xdr:cNvPr>
            <xdr:cNvSpPr txBox="1"/>
          </xdr:nvSpPr>
          <xdr:spPr>
            <a:xfrm>
              <a:off x="3811979" y="4495591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𝑟𝑒𝑝</a:t>
              </a:r>
              <a:endParaRPr lang="es-CO" sz="1200">
                <a:solidFill>
                  <a:sysClr val="windowText" lastClr="000000"/>
                </a:solidFill>
              </a:endParaRPr>
            </a:p>
          </xdr:txBody>
        </xdr:sp>
      </mc:Fallback>
    </mc:AlternateContent>
    <xdr:clientData/>
  </xdr:oneCellAnchor>
  <xdr:oneCellAnchor>
    <xdr:from>
      <xdr:col>16</xdr:col>
      <xdr:colOff>628650</xdr:colOff>
      <xdr:row>125</xdr:row>
      <xdr:rowOff>0</xdr:rowOff>
    </xdr:from>
    <xdr:ext cx="65" cy="172227"/>
    <xdr:sp macro="" textlink="">
      <xdr:nvSpPr>
        <xdr:cNvPr id="140" name="CuadroTexto 139">
          <a:extLst>
            <a:ext uri="{FF2B5EF4-FFF2-40B4-BE49-F238E27FC236}">
              <a16:creationId xmlns:a16="http://schemas.microsoft.com/office/drawing/2014/main" id="{00000000-0008-0000-0200-00008C000000}"/>
            </a:ext>
          </a:extLst>
        </xdr:cNvPr>
        <xdr:cNvSpPr txBox="1"/>
      </xdr:nvSpPr>
      <xdr:spPr>
        <a:xfrm>
          <a:off x="16440150" y="48987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141" name="CuadroTexto 140">
              <a:extLst>
                <a:ext uri="{FF2B5EF4-FFF2-40B4-BE49-F238E27FC236}">
                  <a16:creationId xmlns:a16="http://schemas.microsoft.com/office/drawing/2014/main" id="{00000000-0008-0000-0200-00008D000000}"/>
                </a:ext>
              </a:extLst>
            </xdr:cNvPr>
            <xdr:cNvSpPr txBox="1"/>
          </xdr:nvSpPr>
          <xdr:spPr>
            <a:xfrm>
              <a:off x="3230662" y="322852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panose="02040503050406030204" pitchFamily="18" charset="0"/>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141" name="CuadroTexto 140">
              <a:extLst>
                <a:ext uri="{FF2B5EF4-FFF2-40B4-BE49-F238E27FC236}">
                  <a16:creationId xmlns:a16="http://schemas.microsoft.com/office/drawing/2014/main" id="{00000000-0008-0000-0100-00001F000000}"/>
                </a:ext>
              </a:extLst>
            </xdr:cNvPr>
            <xdr:cNvSpPr txBox="1"/>
          </xdr:nvSpPr>
          <xdr:spPr>
            <a:xfrm>
              <a:off x="3230662" y="322852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142" name="CuadroTexto 141">
          <a:extLst>
            <a:ext uri="{FF2B5EF4-FFF2-40B4-BE49-F238E27FC236}">
              <a16:creationId xmlns:a16="http://schemas.microsoft.com/office/drawing/2014/main" id="{00000000-0008-0000-0200-00008E000000}"/>
            </a:ext>
          </a:extLst>
        </xdr:cNvPr>
        <xdr:cNvSpPr txBox="1"/>
      </xdr:nvSpPr>
      <xdr:spPr>
        <a:xfrm>
          <a:off x="5200650"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143" name="CuadroTexto 142">
          <a:extLst>
            <a:ext uri="{FF2B5EF4-FFF2-40B4-BE49-F238E27FC236}">
              <a16:creationId xmlns:a16="http://schemas.microsoft.com/office/drawing/2014/main" id="{00000000-0008-0000-0200-00008F000000}"/>
            </a:ext>
          </a:extLst>
        </xdr:cNvPr>
        <xdr:cNvSpPr txBox="1"/>
      </xdr:nvSpPr>
      <xdr:spPr>
        <a:xfrm>
          <a:off x="6153150"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144" name="CuadroTexto 143">
          <a:extLst>
            <a:ext uri="{FF2B5EF4-FFF2-40B4-BE49-F238E27FC236}">
              <a16:creationId xmlns:a16="http://schemas.microsoft.com/office/drawing/2014/main" id="{00000000-0008-0000-0200-000090000000}"/>
            </a:ext>
          </a:extLst>
        </xdr:cNvPr>
        <xdr:cNvSpPr txBox="1"/>
      </xdr:nvSpPr>
      <xdr:spPr>
        <a:xfrm>
          <a:off x="6924675"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145" name="CuadroTexto 144">
          <a:extLst>
            <a:ext uri="{FF2B5EF4-FFF2-40B4-BE49-F238E27FC236}">
              <a16:creationId xmlns:a16="http://schemas.microsoft.com/office/drawing/2014/main" id="{00000000-0008-0000-0200-000091000000}"/>
            </a:ext>
          </a:extLst>
        </xdr:cNvPr>
        <xdr:cNvSpPr txBox="1"/>
      </xdr:nvSpPr>
      <xdr:spPr>
        <a:xfrm>
          <a:off x="7800975"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146" name="CuadroTexto 145">
          <a:extLst>
            <a:ext uri="{FF2B5EF4-FFF2-40B4-BE49-F238E27FC236}">
              <a16:creationId xmlns:a16="http://schemas.microsoft.com/office/drawing/2014/main" id="{00000000-0008-0000-0200-000092000000}"/>
            </a:ext>
          </a:extLst>
        </xdr:cNvPr>
        <xdr:cNvSpPr txBox="1"/>
      </xdr:nvSpPr>
      <xdr:spPr>
        <a:xfrm>
          <a:off x="8648700"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147" name="CuadroTexto 146">
          <a:extLst>
            <a:ext uri="{FF2B5EF4-FFF2-40B4-BE49-F238E27FC236}">
              <a16:creationId xmlns:a16="http://schemas.microsoft.com/office/drawing/2014/main" id="{00000000-0008-0000-0200-000093000000}"/>
            </a:ext>
          </a:extLst>
        </xdr:cNvPr>
        <xdr:cNvSpPr txBox="1"/>
      </xdr:nvSpPr>
      <xdr:spPr>
        <a:xfrm>
          <a:off x="9572625"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148" name="CuadroTexto 147">
          <a:extLst>
            <a:ext uri="{FF2B5EF4-FFF2-40B4-BE49-F238E27FC236}">
              <a16:creationId xmlns:a16="http://schemas.microsoft.com/office/drawing/2014/main" id="{00000000-0008-0000-0200-000094000000}"/>
            </a:ext>
          </a:extLst>
        </xdr:cNvPr>
        <xdr:cNvSpPr txBox="1"/>
      </xdr:nvSpPr>
      <xdr:spPr>
        <a:xfrm>
          <a:off x="10420350"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149" name="CuadroTexto 148">
          <a:extLst>
            <a:ext uri="{FF2B5EF4-FFF2-40B4-BE49-F238E27FC236}">
              <a16:creationId xmlns:a16="http://schemas.microsoft.com/office/drawing/2014/main" id="{00000000-0008-0000-0200-000095000000}"/>
            </a:ext>
          </a:extLst>
        </xdr:cNvPr>
        <xdr:cNvSpPr txBox="1"/>
      </xdr:nvSpPr>
      <xdr:spPr>
        <a:xfrm>
          <a:off x="11268075"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150" name="CuadroTexto 149">
          <a:extLst>
            <a:ext uri="{FF2B5EF4-FFF2-40B4-BE49-F238E27FC236}">
              <a16:creationId xmlns:a16="http://schemas.microsoft.com/office/drawing/2014/main" id="{00000000-0008-0000-0200-000096000000}"/>
            </a:ext>
          </a:extLst>
        </xdr:cNvPr>
        <xdr:cNvSpPr txBox="1"/>
      </xdr:nvSpPr>
      <xdr:spPr>
        <a:xfrm>
          <a:off x="9572625"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151" name="CuadroTexto 150">
          <a:extLst>
            <a:ext uri="{FF2B5EF4-FFF2-40B4-BE49-F238E27FC236}">
              <a16:creationId xmlns:a16="http://schemas.microsoft.com/office/drawing/2014/main" id="{00000000-0008-0000-0200-000097000000}"/>
            </a:ext>
          </a:extLst>
        </xdr:cNvPr>
        <xdr:cNvSpPr txBox="1"/>
      </xdr:nvSpPr>
      <xdr:spPr>
        <a:xfrm>
          <a:off x="10420350"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152" name="CuadroTexto 151">
          <a:extLst>
            <a:ext uri="{FF2B5EF4-FFF2-40B4-BE49-F238E27FC236}">
              <a16:creationId xmlns:a16="http://schemas.microsoft.com/office/drawing/2014/main" id="{00000000-0008-0000-0200-000098000000}"/>
            </a:ext>
          </a:extLst>
        </xdr:cNvPr>
        <xdr:cNvSpPr txBox="1"/>
      </xdr:nvSpPr>
      <xdr:spPr>
        <a:xfrm>
          <a:off x="11268075"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153" name="CuadroTexto 152">
          <a:extLst>
            <a:ext uri="{FF2B5EF4-FFF2-40B4-BE49-F238E27FC236}">
              <a16:creationId xmlns:a16="http://schemas.microsoft.com/office/drawing/2014/main" id="{00000000-0008-0000-0200-000099000000}"/>
            </a:ext>
          </a:extLst>
        </xdr:cNvPr>
        <xdr:cNvSpPr txBox="1"/>
      </xdr:nvSpPr>
      <xdr:spPr>
        <a:xfrm>
          <a:off x="12115800" y="2196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714716</xdr:colOff>
      <xdr:row>48</xdr:row>
      <xdr:rowOff>306501</xdr:rowOff>
    </xdr:from>
    <xdr:to>
      <xdr:col>18</xdr:col>
      <xdr:colOff>402988</xdr:colOff>
      <xdr:row>51</xdr:row>
      <xdr:rowOff>85477</xdr:rowOff>
    </xdr:to>
    <xdr:sp macro="" textlink="">
      <xdr:nvSpPr>
        <xdr:cNvPr id="154" name="Rectángulo redondeado 153">
          <a:extLst>
            <a:ext uri="{FF2B5EF4-FFF2-40B4-BE49-F238E27FC236}">
              <a16:creationId xmlns:a16="http://schemas.microsoft.com/office/drawing/2014/main" id="{00000000-0008-0000-0200-00009A000000}"/>
            </a:ext>
          </a:extLst>
        </xdr:cNvPr>
        <xdr:cNvSpPr/>
      </xdr:nvSpPr>
      <xdr:spPr>
        <a:xfrm>
          <a:off x="714716" y="20737626"/>
          <a:ext cx="17261897" cy="1112476"/>
        </a:xfrm>
        <a:prstGeom prst="roundRect">
          <a:avLst/>
        </a:prstGeom>
        <a:solidFill>
          <a:schemeClr val="accent2"/>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0</xdr:col>
      <xdr:colOff>1330780</xdr:colOff>
      <xdr:row>49</xdr:row>
      <xdr:rowOff>9865</xdr:rowOff>
    </xdr:from>
    <xdr:ext cx="14948649" cy="519544"/>
    <mc:AlternateContent xmlns:mc="http://schemas.openxmlformats.org/markup-compatibility/2006" xmlns:a14="http://schemas.microsoft.com/office/drawing/2010/main">
      <mc:Choice Requires="a14">
        <xdr:sp macro="" textlink="">
          <xdr:nvSpPr>
            <xdr:cNvPr id="155" name="CuadroTexto 154">
              <a:extLst>
                <a:ext uri="{FF2B5EF4-FFF2-40B4-BE49-F238E27FC236}">
                  <a16:creationId xmlns:a16="http://schemas.microsoft.com/office/drawing/2014/main" id="{00000000-0008-0000-0200-00009B000000}"/>
                </a:ext>
              </a:extLst>
            </xdr:cNvPr>
            <xdr:cNvSpPr txBox="1"/>
          </xdr:nvSpPr>
          <xdr:spPr>
            <a:xfrm>
              <a:off x="1330780" y="21012490"/>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𝒕</m:t>
                      </m:r>
                    </m:sub>
                  </m:sSub>
                </m:oMath>
              </a14:m>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  </m:t>
                          </m:r>
                        </m:e>
                        <m:e>
                          <m:r>
                            <a:rPr lang="es-CO" sz="2800" b="1" i="1">
                              <a:solidFill>
                                <a:sysClr val="windowText" lastClr="000000"/>
                              </a:solidFill>
                              <a:effectLst/>
                              <a:latin typeface="Cambria Math" panose="02040503050406030204" pitchFamily="18" charset="0"/>
                              <a:ea typeface="+mn-ea"/>
                              <a:cs typeface="+mn-cs"/>
                            </a:rPr>
                            <m:t> </m:t>
                          </m:r>
                        </m:e>
                      </m:eqArr>
                    </m:sub>
                  </m:sSub>
                  <m:d>
                    <m:dPr>
                      <m:begChr m:val="["/>
                      <m:endChr m:val="]"/>
                      <m:ctrlPr>
                        <a:rPr lang="es-CO" sz="2800" b="1" i="1">
                          <a:solidFill>
                            <a:sysClr val="windowText" lastClr="000000"/>
                          </a:solidFill>
                          <a:effectLst/>
                          <a:latin typeface="Cambria Math" panose="02040503050406030204" pitchFamily="18" charset="0"/>
                          <a:ea typeface="+mn-ea"/>
                          <a:cs typeface="+mn-cs"/>
                        </a:rPr>
                      </m:ctrlPr>
                    </m:dPr>
                    <m:e>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𝟏</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𝑹𝒔</m:t>
                              </m:r>
                            </m:sub>
                          </m:sSub>
                        </m:e>
                      </m:eqArr>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 </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𝑹𝑺</m:t>
                              </m:r>
                            </m:sub>
                          </m:sSub>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𝜷</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m:t>
                          </m:r>
                        </m:e>
                      </m:d>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𝒕</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𝑺𝑪𝑴</m:t>
                              </m:r>
                            </m:sub>
                          </m:sSub>
                        </m:e>
                      </m:d>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𝒎𝒆𝒏</m:t>
                      </m:r>
                    </m:sub>
                  </m:sSub>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𝒓𝒆𝒑</m:t>
                      </m:r>
                    </m:sub>
                  </m:sSub>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𝒂𝒅𝒅</m:t>
                      </m:r>
                    </m:sub>
                  </m:sSub>
                </m:oMath>
              </a14:m>
              <a:endParaRPr lang="es-CO" sz="2800">
                <a:solidFill>
                  <a:sysClr val="windowText" lastClr="000000"/>
                </a:solidFill>
              </a:endParaRPr>
            </a:p>
          </xdr:txBody>
        </xdr:sp>
      </mc:Choice>
      <mc:Fallback xmlns="">
        <xdr:sp macro="" textlink="">
          <xdr:nvSpPr>
            <xdr:cNvPr id="155" name="CuadroTexto 154">
              <a:extLst>
                <a:ext uri="{FF2B5EF4-FFF2-40B4-BE49-F238E27FC236}">
                  <a16:creationId xmlns:a16="http://schemas.microsoft.com/office/drawing/2014/main" xmlns:a14="http://schemas.microsoft.com/office/drawing/2010/main" xmlns="" id="{00000000-0008-0000-0100-00002D000000}"/>
                </a:ext>
              </a:extLst>
            </xdr:cNvPr>
            <xdr:cNvSpPr txBox="1"/>
          </xdr:nvSpPr>
          <xdr:spPr>
            <a:xfrm>
              <a:off x="1330780" y="21012490"/>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r>
                <a:rPr lang="es-CO" sz="2800" b="1" i="0">
                  <a:solidFill>
                    <a:sysClr val="windowText" lastClr="000000"/>
                  </a:solidFill>
                  <a:effectLst/>
                  <a:latin typeface="Cambria Math" panose="02040503050406030204" pitchFamily="18" charset="0"/>
                  <a:ea typeface="+mn-ea"/>
                  <a:cs typeface="+mn-cs"/>
                </a:rPr>
                <a:t>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𝒕</a:t>
              </a:r>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r>
                <a:rPr lang="es-CO" sz="2800" b="1" i="0">
                  <a:solidFill>
                    <a:sysClr val="windowText" lastClr="000000"/>
                  </a:solidFill>
                  <a:effectLst/>
                  <a:latin typeface="Cambria Math" panose="02040503050406030204" pitchFamily="18" charset="0"/>
                  <a:ea typeface="+mn-ea"/>
                  <a:cs typeface="+mn-cs"/>
                </a:rPr>
                <a:t>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𝟎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 </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𝟏−𝜸</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𝑹𝒔</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𝟎𝑹𝑺  − 𝒕</a:t>
              </a:r>
              <a:r>
                <a:rPr lang="es-CO" sz="2800" b="1" i="0">
                  <a:solidFill>
                    <a:sysClr val="windowText" lastClr="000000"/>
                  </a:solidFill>
                  <a:effectLst/>
                  <a:latin typeface="Cambria Math"/>
                  <a:ea typeface="+mn-ea"/>
                  <a:cs typeface="+mn-cs"/>
                </a:rPr>
                <a:t>_</a:t>
              </a:r>
              <a:r>
                <a:rPr lang="es-MX" sz="2800" b="1" i="0">
                  <a:solidFill>
                    <a:sysClr val="windowText" lastClr="000000"/>
                  </a:solidFill>
                  <a:effectLst/>
                  <a:latin typeface="Cambria Math" panose="02040503050406030204" pitchFamily="18" charset="0"/>
                  <a:ea typeface="+mn-ea"/>
                  <a:cs typeface="+mn-cs"/>
                </a:rPr>
                <a:t>𝑹𝑺</a:t>
              </a:r>
              <a:r>
                <a:rPr lang="es-MX"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+𝜷</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MX"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𝑹𝑺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+𝜸</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𝑺𝑪𝑴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 𝒕−𝒕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𝒎𝒆𝒏+ 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𝒓𝒆𝒑+𝜹𝑽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𝒂𝒅𝒅</a:t>
              </a:r>
              <a:endParaRPr lang="es-CO" sz="2800">
                <a:solidFill>
                  <a:sysClr val="windowText" lastClr="000000"/>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162" name="CuadroTexto 161">
              <a:extLst>
                <a:ext uri="{FF2B5EF4-FFF2-40B4-BE49-F238E27FC236}">
                  <a16:creationId xmlns:a16="http://schemas.microsoft.com/office/drawing/2014/main" id="{00000000-0008-0000-0200-0000A2000000}"/>
                </a:ext>
              </a:extLst>
            </xdr:cNvPr>
            <xdr:cNvSpPr txBox="1"/>
          </xdr:nvSpPr>
          <xdr:spPr>
            <a:xfrm>
              <a:off x="10149416" y="217455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162" name="CuadroTexto 161">
              <a:extLst>
                <a:ext uri="{FF2B5EF4-FFF2-40B4-BE49-F238E27FC236}">
                  <a16:creationId xmlns:a16="http://schemas.microsoft.com/office/drawing/2014/main" id="{00000000-0008-0000-0100-000034000000}"/>
                </a:ext>
              </a:extLst>
            </xdr:cNvPr>
            <xdr:cNvSpPr txBox="1"/>
          </xdr:nvSpPr>
          <xdr:spPr>
            <a:xfrm>
              <a:off x="10149416" y="217455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163" name="CuadroTexto 162">
              <a:extLst>
                <a:ext uri="{FF2B5EF4-FFF2-40B4-BE49-F238E27FC236}">
                  <a16:creationId xmlns:a16="http://schemas.microsoft.com/office/drawing/2014/main" id="{00000000-0008-0000-0200-0000A3000000}"/>
                </a:ext>
              </a:extLst>
            </xdr:cNvPr>
            <xdr:cNvSpPr txBox="1"/>
          </xdr:nvSpPr>
          <xdr:spPr>
            <a:xfrm>
              <a:off x="5032171" y="240247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163" name="CuadroTexto 162">
              <a:extLst>
                <a:ext uri="{FF2B5EF4-FFF2-40B4-BE49-F238E27FC236}">
                  <a16:creationId xmlns:a16="http://schemas.microsoft.com/office/drawing/2014/main" id="{00000000-0008-0000-0100-000035000000}"/>
                </a:ext>
              </a:extLst>
            </xdr:cNvPr>
            <xdr:cNvSpPr txBox="1"/>
          </xdr:nvSpPr>
          <xdr:spPr>
            <a:xfrm>
              <a:off x="5032171" y="240247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164" name="Gráfico 163">
          <a:extLst>
            <a:ext uri="{FF2B5EF4-FFF2-40B4-BE49-F238E27FC236}">
              <a16:creationId xmlns:a16="http://schemas.microsoft.com/office/drawing/2014/main" id="{00000000-0008-0000-0200-0000A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165" name="Gráfico 164">
          <a:extLst>
            <a:ext uri="{FF2B5EF4-FFF2-40B4-BE49-F238E27FC236}">
              <a16:creationId xmlns:a16="http://schemas.microsoft.com/office/drawing/2014/main" id="{00000000-0008-0000-02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16</xdr:col>
      <xdr:colOff>71437</xdr:colOff>
      <xdr:row>36</xdr:row>
      <xdr:rowOff>47625</xdr:rowOff>
    </xdr:from>
    <xdr:to>
      <xdr:col>18</xdr:col>
      <xdr:colOff>539369</xdr:colOff>
      <xdr:row>39</xdr:row>
      <xdr:rowOff>64635</xdr:rowOff>
    </xdr:to>
    <xdr:graphicFrame macro="">
      <xdr:nvGraphicFramePr>
        <xdr:cNvPr id="166" name="Gráfico 165">
          <a:extLst>
            <a:ext uri="{FF2B5EF4-FFF2-40B4-BE49-F238E27FC236}">
              <a16:creationId xmlns:a16="http://schemas.microsoft.com/office/drawing/2014/main" id="{00000000-0008-0000-0200-0000A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18</xdr:col>
      <xdr:colOff>642937</xdr:colOff>
      <xdr:row>36</xdr:row>
      <xdr:rowOff>95250</xdr:rowOff>
    </xdr:from>
    <xdr:to>
      <xdr:col>21</xdr:col>
      <xdr:colOff>491744</xdr:colOff>
      <xdr:row>39</xdr:row>
      <xdr:rowOff>112260</xdr:rowOff>
    </xdr:to>
    <xdr:graphicFrame macro="">
      <xdr:nvGraphicFramePr>
        <xdr:cNvPr id="167" name="Gráfico 166">
          <a:extLst>
            <a:ext uri="{FF2B5EF4-FFF2-40B4-BE49-F238E27FC236}">
              <a16:creationId xmlns:a16="http://schemas.microsoft.com/office/drawing/2014/main" id="{00000000-0008-0000-0200-0000A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619125</xdr:colOff>
      <xdr:row>36</xdr:row>
      <xdr:rowOff>95250</xdr:rowOff>
    </xdr:from>
    <xdr:to>
      <xdr:col>24</xdr:col>
      <xdr:colOff>467932</xdr:colOff>
      <xdr:row>39</xdr:row>
      <xdr:rowOff>112260</xdr:rowOff>
    </xdr:to>
    <xdr:graphicFrame macro="">
      <xdr:nvGraphicFramePr>
        <xdr:cNvPr id="168" name="Gráfico 167">
          <a:extLst>
            <a:ext uri="{FF2B5EF4-FFF2-40B4-BE49-F238E27FC236}">
              <a16:creationId xmlns:a16="http://schemas.microsoft.com/office/drawing/2014/main" id="{00000000-0008-0000-0200-0000A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oneCellAnchor>
    <xdr:from>
      <xdr:col>3</xdr:col>
      <xdr:colOff>44823</xdr:colOff>
      <xdr:row>111</xdr:row>
      <xdr:rowOff>190499</xdr:rowOff>
    </xdr:from>
    <xdr:ext cx="885265" cy="246531"/>
    <mc:AlternateContent xmlns:mc="http://schemas.openxmlformats.org/markup-compatibility/2006" xmlns:a14="http://schemas.microsoft.com/office/drawing/2010/main">
      <mc:Choice Requires="a14">
        <xdr:sp macro="" textlink="">
          <xdr:nvSpPr>
            <xdr:cNvPr id="103" name="CuadroTexto 102">
              <a:extLst>
                <a:ext uri="{FF2B5EF4-FFF2-40B4-BE49-F238E27FC236}">
                  <a16:creationId xmlns:a16="http://schemas.microsoft.com/office/drawing/2014/main" id="{00000000-0008-0000-0200-000067000000}"/>
                </a:ext>
              </a:extLst>
            </xdr:cNvPr>
            <xdr:cNvSpPr txBox="1"/>
          </xdr:nvSpPr>
          <xdr:spPr>
            <a:xfrm>
              <a:off x="3597088" y="44655440"/>
              <a:ext cx="885265" cy="246531"/>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100" i="1">
                        <a:solidFill>
                          <a:srgbClr val="FF0000"/>
                        </a:solidFill>
                        <a:effectLst/>
                        <a:latin typeface="Cambria Math"/>
                        <a:ea typeface="+mn-ea"/>
                        <a:cs typeface="+mn-cs"/>
                      </a:rPr>
                      <m:t>𝑢</m:t>
                    </m:r>
                    <m:d>
                      <m:dPr>
                        <m:ctrlPr>
                          <a:rPr lang="es-CO" sz="1100" i="1">
                            <a:solidFill>
                              <a:srgbClr val="FF0000"/>
                            </a:solidFill>
                            <a:effectLst/>
                            <a:latin typeface="Cambria Math" panose="02040503050406030204" pitchFamily="18" charset="0"/>
                            <a:ea typeface="+mn-ea"/>
                            <a:cs typeface="+mn-cs"/>
                          </a:rPr>
                        </m:ctrlPr>
                      </m:dPr>
                      <m:e>
                        <m:sSub>
                          <m:sSubPr>
                            <m:ctrlPr>
                              <a:rPr lang="es-CO" sz="1100" i="1">
                                <a:solidFill>
                                  <a:srgbClr val="FF0000"/>
                                </a:solidFill>
                                <a:effectLst/>
                                <a:latin typeface="Cambria Math" panose="02040503050406030204" pitchFamily="18" charset="0"/>
                                <a:ea typeface="+mn-ea"/>
                                <a:cs typeface="+mn-cs"/>
                              </a:rPr>
                            </m:ctrlPr>
                          </m:sSubPr>
                          <m:e>
                            <m:r>
                              <a:rPr lang="es-CO" sz="1100" i="1">
                                <a:solidFill>
                                  <a:srgbClr val="FF0000"/>
                                </a:solidFill>
                                <a:effectLst/>
                                <a:latin typeface="Cambria Math"/>
                                <a:ea typeface="+mn-ea"/>
                                <a:cs typeface="+mn-cs"/>
                              </a:rPr>
                              <m:t>𝛿</m:t>
                            </m:r>
                          </m:e>
                          <m:sub>
                            <m:r>
                              <a:rPr lang="es-CO" sz="1100" i="1">
                                <a:solidFill>
                                  <a:srgbClr val="FF0000"/>
                                </a:solidFill>
                                <a:effectLst/>
                                <a:latin typeface="Cambria Math"/>
                                <a:ea typeface="+mn-ea"/>
                                <a:cs typeface="+mn-cs"/>
                              </a:rPr>
                              <m:t>𝑚𝑟</m:t>
                            </m:r>
                          </m:sub>
                        </m:sSub>
                      </m:e>
                    </m:d>
                  </m:oMath>
                </m:oMathPara>
              </a14:m>
              <a:endParaRPr lang="es-CO" sz="1200">
                <a:solidFill>
                  <a:sysClr val="windowText" lastClr="000000"/>
                </a:solidFill>
              </a:endParaRPr>
            </a:p>
          </xdr:txBody>
        </xdr:sp>
      </mc:Choice>
      <mc:Fallback xmlns="">
        <xdr:sp macro="" textlink="">
          <xdr:nvSpPr>
            <xdr:cNvPr id="103" name="CuadroTexto 102">
              <a:extLst>
                <a:ext uri="{FF2B5EF4-FFF2-40B4-BE49-F238E27FC236}">
                  <a16:creationId xmlns:a16="http://schemas.microsoft.com/office/drawing/2014/main" xmlns="" xmlns:a14="http://schemas.microsoft.com/office/drawing/2010/main" id="{00000000-0008-0000-0100-000019000000}"/>
                </a:ext>
              </a:extLst>
            </xdr:cNvPr>
            <xdr:cNvSpPr txBox="1"/>
          </xdr:nvSpPr>
          <xdr:spPr>
            <a:xfrm>
              <a:off x="3597088" y="44655440"/>
              <a:ext cx="885265" cy="246531"/>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i="0">
                  <a:solidFill>
                    <a:srgbClr val="FF0000"/>
                  </a:solidFill>
                  <a:effectLst/>
                  <a:latin typeface="Cambria Math"/>
                  <a:ea typeface="+mn-ea"/>
                  <a:cs typeface="+mn-cs"/>
                </a:rPr>
                <a:t>𝑢(𝛿_𝑚𝑟 )</a:t>
              </a:r>
              <a:endParaRPr lang="es-CO" sz="1200">
                <a:solidFill>
                  <a:sysClr val="windowText" lastClr="000000"/>
                </a:solidFill>
              </a:endParaRPr>
            </a:p>
          </xdr:txBody>
        </xdr:sp>
      </mc:Fallback>
    </mc:AlternateContent>
    <xdr:clientData/>
  </xdr:oneCellAnchor>
  <xdr:twoCellAnchor>
    <xdr:from>
      <xdr:col>18</xdr:col>
      <xdr:colOff>201705</xdr:colOff>
      <xdr:row>97</xdr:row>
      <xdr:rowOff>44823</xdr:rowOff>
    </xdr:from>
    <xdr:to>
      <xdr:col>24</xdr:col>
      <xdr:colOff>616322</xdr:colOff>
      <xdr:row>107</xdr:row>
      <xdr:rowOff>193301</xdr:rowOff>
    </xdr:to>
    <xdr:graphicFrame macro="">
      <xdr:nvGraphicFramePr>
        <xdr:cNvPr id="104" name="Gráfico 103">
          <a:extLst>
            <a:ext uri="{FF2B5EF4-FFF2-40B4-BE49-F238E27FC236}">
              <a16:creationId xmlns:a16="http://schemas.microsoft.com/office/drawing/2014/main" id="{00000000-0008-0000-0200-00006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750794</xdr:colOff>
      <xdr:row>0</xdr:row>
      <xdr:rowOff>0</xdr:rowOff>
    </xdr:from>
    <xdr:to>
      <xdr:col>2</xdr:col>
      <xdr:colOff>301129</xdr:colOff>
      <xdr:row>0</xdr:row>
      <xdr:rowOff>902286</xdr:rowOff>
    </xdr:to>
    <xdr:pic>
      <xdr:nvPicPr>
        <xdr:cNvPr id="2" name="1 Imagen">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7"/>
        <a:stretch>
          <a:fillRect/>
        </a:stretch>
      </xdr:blipFill>
      <xdr:spPr>
        <a:xfrm>
          <a:off x="750794" y="0"/>
          <a:ext cx="2127688" cy="902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107951</xdr:colOff>
      <xdr:row>16</xdr:row>
      <xdr:rowOff>3175</xdr:rowOff>
    </xdr:from>
    <xdr:to>
      <xdr:col>7</xdr:col>
      <xdr:colOff>244475</xdr:colOff>
      <xdr:row>20</xdr:row>
      <xdr:rowOff>180975</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rightnessContrast bright="-40000" contrast="40000"/>
                  </a14:imgEffect>
                </a14:imgLayer>
              </a14:imgProps>
            </a:ext>
          </a:extLst>
        </a:blip>
        <a:stretch>
          <a:fillRect/>
        </a:stretch>
      </xdr:blipFill>
      <xdr:spPr>
        <a:xfrm>
          <a:off x="6756401" y="4232275"/>
          <a:ext cx="1517649" cy="11684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612775</xdr:colOff>
      <xdr:row>15</xdr:row>
      <xdr:rowOff>52613</xdr:rowOff>
    </xdr:from>
    <xdr:to>
      <xdr:col>10</xdr:col>
      <xdr:colOff>367483</xdr:colOff>
      <xdr:row>17</xdr:row>
      <xdr:rowOff>184038</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rightnessContrast bright="-40000" contrast="20000"/>
                  </a14:imgEffect>
                </a14:imgLayer>
              </a14:imgProps>
            </a:ext>
          </a:extLst>
        </a:blip>
        <a:stretch>
          <a:fillRect/>
        </a:stretch>
      </xdr:blipFill>
      <xdr:spPr>
        <a:xfrm>
          <a:off x="8642350" y="4091213"/>
          <a:ext cx="3612333" cy="5124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647700</xdr:colOff>
      <xdr:row>19</xdr:row>
      <xdr:rowOff>117475</xdr:rowOff>
    </xdr:from>
    <xdr:to>
      <xdr:col>10</xdr:col>
      <xdr:colOff>422275</xdr:colOff>
      <xdr:row>20</xdr:row>
      <xdr:rowOff>95205</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rightnessContrast bright="-40000" contrast="20000"/>
                  </a14:imgEffect>
                </a14:imgLayer>
              </a14:imgProps>
            </a:ext>
          </a:extLst>
        </a:blip>
        <a:stretch>
          <a:fillRect/>
        </a:stretch>
      </xdr:blipFill>
      <xdr:spPr>
        <a:xfrm>
          <a:off x="8677275" y="4937125"/>
          <a:ext cx="3632200" cy="37778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9</xdr:col>
      <xdr:colOff>307973</xdr:colOff>
      <xdr:row>2</xdr:row>
      <xdr:rowOff>12698</xdr:rowOff>
    </xdr:from>
    <xdr:to>
      <xdr:col>16</xdr:col>
      <xdr:colOff>391073</xdr:colOff>
      <xdr:row>14</xdr:row>
      <xdr:rowOff>90398</xdr:rowOff>
    </xdr:to>
    <xdr:graphicFrame macro="">
      <xdr:nvGraphicFramePr>
        <xdr:cNvPr id="5" name="Gráfico 4">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400050</xdr:colOff>
      <xdr:row>0</xdr:row>
      <xdr:rowOff>104775</xdr:rowOff>
    </xdr:from>
    <xdr:to>
      <xdr:col>1</xdr:col>
      <xdr:colOff>956113</xdr:colOff>
      <xdr:row>0</xdr:row>
      <xdr:rowOff>1007061</xdr:rowOff>
    </xdr:to>
    <xdr:pic>
      <xdr:nvPicPr>
        <xdr:cNvPr id="7" name="6 Imagen">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8"/>
        <a:stretch>
          <a:fillRect/>
        </a:stretch>
      </xdr:blipFill>
      <xdr:spPr>
        <a:xfrm>
          <a:off x="400050" y="104775"/>
          <a:ext cx="2127688" cy="9022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5</xdr:col>
      <xdr:colOff>180976</xdr:colOff>
      <xdr:row>26</xdr:row>
      <xdr:rowOff>37084</xdr:rowOff>
    </xdr:from>
    <xdr:ext cx="2343149" cy="40106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400-000002000000}"/>
                </a:ext>
              </a:extLst>
            </xdr:cNvPr>
            <xdr:cNvSpPr txBox="1"/>
          </xdr:nvSpPr>
          <xdr:spPr>
            <a:xfrm>
              <a:off x="4752976" y="10247884"/>
              <a:ext cx="2343149"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𝑽𝒎𝒊𝒏</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900" b="1" i="1">
                <a:latin typeface="Times New Roman" panose="02020603050405020304" pitchFamily="18" charset="0"/>
                <a:cs typeface="Times New Roman" panose="02020603050405020304" pitchFamily="18" charset="0"/>
              </a:endParaRPr>
            </a:p>
          </xdr:txBody>
        </xdr:sp>
      </mc:Choice>
      <mc:Fallback xmlns="">
        <xdr:sp macro="" textlink="">
          <xdr:nvSpPr>
            <xdr:cNvPr id="2" name="CuadroTexto 1"/>
            <xdr:cNvSpPr txBox="1"/>
          </xdr:nvSpPr>
          <xdr:spPr>
            <a:xfrm>
              <a:off x="4752976" y="10247884"/>
              <a:ext cx="2343149"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𝝏𝑫/𝝏𝑽𝒎𝒊𝒏=−  𝟏/𝒏</a:t>
              </a:r>
              <a:endParaRPr lang="es-CO" sz="9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422406</xdr:colOff>
      <xdr:row>29</xdr:row>
      <xdr:rowOff>8282</xdr:rowOff>
    </xdr:from>
    <xdr:ext cx="1880159" cy="331305"/>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400-000003000000}"/>
                </a:ext>
              </a:extLst>
            </xdr:cNvPr>
            <xdr:cNvSpPr txBox="1"/>
          </xdr:nvSpPr>
          <xdr:spPr>
            <a:xfrm>
              <a:off x="4994406" y="10714382"/>
              <a:ext cx="1880159" cy="33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Cambria Math" panose="02040503050406030204" pitchFamily="18" charset="0"/>
                            <a:cs typeface="+mn-cs"/>
                          </a:rPr>
                          <m:t>∆</m:t>
                        </m:r>
                        <m:r>
                          <a:rPr lang="es-CO" sz="1100" b="1" i="1">
                            <a:solidFill>
                              <a:schemeClr val="tx1"/>
                            </a:solidFill>
                            <a:effectLst/>
                            <a:latin typeface="Cambria Math" panose="02040503050406030204" pitchFamily="18" charset="0"/>
                            <a:ea typeface="+mn-ea"/>
                            <a:cs typeface="+mn-cs"/>
                          </a:rPr>
                          <m:t>𝑽𝒎𝒂𝒙𝒍𝒆𝒄</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900" b="1" i="1">
                <a:latin typeface="Times New Roman" panose="02020603050405020304" pitchFamily="18" charset="0"/>
                <a:cs typeface="Times New Roman" panose="02020603050405020304" pitchFamily="18" charset="0"/>
              </a:endParaRPr>
            </a:p>
          </xdr:txBody>
        </xdr:sp>
      </mc:Choice>
      <mc:Fallback xmlns="">
        <xdr:sp macro="" textlink="">
          <xdr:nvSpPr>
            <xdr:cNvPr id="3" name="CuadroTexto 2"/>
            <xdr:cNvSpPr txBox="1"/>
          </xdr:nvSpPr>
          <xdr:spPr>
            <a:xfrm>
              <a:off x="4994406" y="10714382"/>
              <a:ext cx="1880159" cy="33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a:t>
              </a:r>
              <a:r>
                <a:rPr lang="es-CO" sz="1100" b="1" i="0">
                  <a:solidFill>
                    <a:schemeClr val="tx1"/>
                  </a:solidFill>
                  <a:effectLst/>
                  <a:latin typeface="Cambria Math" panose="02040503050406030204" pitchFamily="18" charset="0"/>
                  <a:ea typeface="Cambria Math" panose="02040503050406030204" pitchFamily="18" charset="0"/>
                  <a:cs typeface="+mn-cs"/>
                </a:rPr>
                <a:t>∆</a:t>
              </a:r>
              <a:r>
                <a:rPr lang="es-CO" sz="1100" b="1" i="0">
                  <a:solidFill>
                    <a:schemeClr val="tx1"/>
                  </a:solidFill>
                  <a:effectLst/>
                  <a:latin typeface="Cambria Math" panose="02040503050406030204" pitchFamily="18" charset="0"/>
                  <a:ea typeface="+mn-ea"/>
                  <a:cs typeface="+mn-cs"/>
                </a:rPr>
                <a:t>𝑽𝒎𝒂𝒙𝒍𝒆𝒄=  𝟏/𝒏</a:t>
              </a:r>
              <a:endParaRPr lang="es-CO" sz="9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373865</xdr:colOff>
      <xdr:row>30</xdr:row>
      <xdr:rowOff>46250</xdr:rowOff>
    </xdr:from>
    <xdr:ext cx="1920794" cy="395793"/>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400-000004000000}"/>
                </a:ext>
              </a:extLst>
            </xdr:cNvPr>
            <xdr:cNvSpPr txBox="1"/>
          </xdr:nvSpPr>
          <xdr:spPr>
            <a:xfrm>
              <a:off x="4945865" y="11133350"/>
              <a:ext cx="1920794"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Cambria Math" panose="02040503050406030204" pitchFamily="18" charset="0"/>
                            <a:cs typeface="+mn-cs"/>
                          </a:rPr>
                          <m:t>∆</m:t>
                        </m:r>
                        <m:r>
                          <a:rPr lang="es-CO" sz="1100" b="1" i="1">
                            <a:solidFill>
                              <a:schemeClr val="tx1"/>
                            </a:solidFill>
                            <a:effectLst/>
                            <a:latin typeface="Cambria Math" panose="02040503050406030204" pitchFamily="18" charset="0"/>
                            <a:ea typeface="+mn-ea"/>
                            <a:cs typeface="+mn-cs"/>
                          </a:rPr>
                          <m:t>𝑽𝒎𝒊𝒏𝒍𝒆𝒄</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 name="CuadroTexto 3"/>
            <xdr:cNvSpPr txBox="1"/>
          </xdr:nvSpPr>
          <xdr:spPr>
            <a:xfrm>
              <a:off x="4945865" y="11133350"/>
              <a:ext cx="1920794"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a:t>
              </a:r>
              <a:r>
                <a:rPr lang="es-CO" sz="1100" b="1" i="0">
                  <a:solidFill>
                    <a:schemeClr val="tx1"/>
                  </a:solidFill>
                  <a:effectLst/>
                  <a:latin typeface="Cambria Math" panose="02040503050406030204" pitchFamily="18" charset="0"/>
                  <a:ea typeface="Cambria Math" panose="02040503050406030204" pitchFamily="18" charset="0"/>
                  <a:cs typeface="+mn-cs"/>
                </a:rPr>
                <a:t>∆</a:t>
              </a:r>
              <a:r>
                <a:rPr lang="es-CO" sz="1100" b="1" i="0">
                  <a:solidFill>
                    <a:schemeClr val="tx1"/>
                  </a:solidFill>
                  <a:effectLst/>
                  <a:latin typeface="Cambria Math" panose="02040503050406030204" pitchFamily="18" charset="0"/>
                  <a:ea typeface="+mn-ea"/>
                  <a:cs typeface="+mn-cs"/>
                </a:rPr>
                <a:t>𝑽𝒎𝒊𝒏𝒍𝒆𝒄=  𝟏/𝒏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697334</xdr:colOff>
      <xdr:row>35</xdr:row>
      <xdr:rowOff>37181</xdr:rowOff>
    </xdr:from>
    <xdr:ext cx="1111805" cy="392205"/>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400-000005000000}"/>
                </a:ext>
              </a:extLst>
            </xdr:cNvPr>
            <xdr:cNvSpPr txBox="1"/>
          </xdr:nvSpPr>
          <xdr:spPr>
            <a:xfrm>
              <a:off x="5936084" y="1546768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𝑽𝑫𝒎𝒆𝒕𝒐</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xdr:cNvSpPr txBox="1"/>
          </xdr:nvSpPr>
          <xdr:spPr>
            <a:xfrm>
              <a:off x="5936084" y="1546768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𝝏𝑫/𝝏𝑽𝑫𝒎𝒆𝒕𝒐=𝟏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444212</xdr:colOff>
      <xdr:row>25</xdr:row>
      <xdr:rowOff>60614</xdr:rowOff>
    </xdr:from>
    <xdr:ext cx="1842654" cy="353291"/>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5682962" y="12681239"/>
              <a:ext cx="1842654" cy="3532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𝑽𝒎𝒂𝒙</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8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CO" sz="800" b="1"/>
            </a:p>
          </xdr:txBody>
        </xdr:sp>
      </mc:Choice>
      <mc:Fallback xmlns="">
        <xdr:sp macro="" textlink="">
          <xdr:nvSpPr>
            <xdr:cNvPr id="6" name="CuadroTexto 5"/>
            <xdr:cNvSpPr txBox="1"/>
          </xdr:nvSpPr>
          <xdr:spPr>
            <a:xfrm>
              <a:off x="5682962" y="12681239"/>
              <a:ext cx="1842654" cy="3532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𝝏𝑫/𝝏𝑽𝒎𝒂𝒙=  𝟏/𝒏</a:t>
              </a:r>
              <a:endParaRPr lang="es-CO" sz="8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CO" sz="800" b="1"/>
            </a:p>
          </xdr:txBody>
        </xdr:sp>
      </mc:Fallback>
    </mc:AlternateContent>
    <xdr:clientData/>
  </xdr:oneCellAnchor>
  <xdr:oneCellAnchor>
    <xdr:from>
      <xdr:col>5</xdr:col>
      <xdr:colOff>734083</xdr:colOff>
      <xdr:row>33</xdr:row>
      <xdr:rowOff>38458</xdr:rowOff>
    </xdr:from>
    <xdr:ext cx="1115500" cy="395793"/>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400-000007000000}"/>
                </a:ext>
              </a:extLst>
            </xdr:cNvPr>
            <xdr:cNvSpPr txBox="1"/>
          </xdr:nvSpPr>
          <xdr:spPr>
            <a:xfrm>
              <a:off x="5972833" y="14906983"/>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𝑽𝑫</m:t>
                        </m:r>
                        <m:r>
                          <a:rPr lang="es-CO" sz="1100" b="1" i="1">
                            <a:solidFill>
                              <a:schemeClr val="tx1"/>
                            </a:solidFill>
                            <a:effectLst/>
                            <a:latin typeface="Cambria Math" panose="02040503050406030204" pitchFamily="18" charset="0"/>
                            <a:ea typeface="+mn-ea"/>
                            <a:cs typeface="+mn-cs"/>
                          </a:rPr>
                          <m:t> </m:t>
                        </m:r>
                        <m:r>
                          <a:rPr lang="es-CO" sz="1100" b="1" i="1">
                            <a:solidFill>
                              <a:schemeClr val="tx1"/>
                            </a:solidFill>
                            <a:effectLst/>
                            <a:latin typeface="Cambria Math" panose="02040503050406030204" pitchFamily="18" charset="0"/>
                            <a:ea typeface="+mn-ea"/>
                            <a:cs typeface="+mn-cs"/>
                          </a:rPr>
                          <m:t>𝒊𝒏𝒉𝒐</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xdr:cNvSpPr txBox="1"/>
          </xdr:nvSpPr>
          <xdr:spPr>
            <a:xfrm>
              <a:off x="5972833" y="14906983"/>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𝝏𝑫/(𝝏𝑽𝑫 𝒊𝒏𝒉𝒐)=𝟏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19</xdr:col>
      <xdr:colOff>183089</xdr:colOff>
      <xdr:row>15</xdr:row>
      <xdr:rowOff>54808</xdr:rowOff>
    </xdr:from>
    <xdr:ext cx="485775" cy="27176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400-000008000000}"/>
                </a:ext>
              </a:extLst>
            </xdr:cNvPr>
            <xdr:cNvSpPr txBox="1"/>
          </xdr:nvSpPr>
          <xdr:spPr>
            <a:xfrm>
              <a:off x="12984689" y="56936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8" name="CuadroTexto 7"/>
            <xdr:cNvSpPr txBox="1"/>
          </xdr:nvSpPr>
          <xdr:spPr>
            <a:xfrm>
              <a:off x="12984689" y="56936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12</xdr:col>
      <xdr:colOff>351066</xdr:colOff>
      <xdr:row>8</xdr:row>
      <xdr:rowOff>232683</xdr:rowOff>
    </xdr:from>
    <xdr:ext cx="1690006" cy="670889"/>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400-000009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14:m>
                <m:oMath xmlns:m="http://schemas.openxmlformats.org/officeDocument/2006/math">
                  <m:f>
                    <m:fPr>
                      <m:ctrlPr>
                        <a:rPr lang="es-CO" sz="3000" b="1" i="1">
                          <a:solidFill>
                            <a:schemeClr val="bg1"/>
                          </a:solidFill>
                          <a:latin typeface="Cambria Math" panose="02040503050406030204" pitchFamily="18" charset="0"/>
                        </a:rPr>
                      </m:ctrlPr>
                    </m:fPr>
                    <m:num>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num>
                    <m:den>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den>
                  </m:f>
                </m:oMath>
              </a14:m>
              <a:endParaRPr lang="es-CO" sz="3000" b="1" i="1"/>
            </a:p>
          </xdr:txBody>
        </xdr:sp>
      </mc:Choice>
      <mc:Fallback xmlns="">
        <xdr:sp macro="" textlink="">
          <xdr:nvSpPr>
            <xdr:cNvPr id="9" name="CuadroTexto 8"/>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r>
                <a:rPr lang="es-CO" sz="3000" b="1" i="0">
                  <a:solidFill>
                    <a:schemeClr val="bg1"/>
                  </a:solidFill>
                  <a:latin typeface="Cambria Math" panose="02040503050406030204" pitchFamily="18" charset="0"/>
                </a:rPr>
                <a:t>(𝒚_𝟐  − 𝒚_𝟏)/(𝒙_𝟐  − 𝒙_𝟏 )</a:t>
              </a:r>
              <a:endParaRPr lang="es-CO" sz="3000" b="1" i="1"/>
            </a:p>
          </xdr:txBody>
        </xdr:sp>
      </mc:Fallback>
    </mc:AlternateContent>
    <xdr:clientData/>
  </xdr:oneCellAnchor>
  <xdr:oneCellAnchor>
    <xdr:from>
      <xdr:col>11</xdr:col>
      <xdr:colOff>692610</xdr:colOff>
      <xdr:row>7</xdr:row>
      <xdr:rowOff>69396</xdr:rowOff>
    </xdr:from>
    <xdr:ext cx="3192221" cy="469616"/>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400-00000A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3000" b="1" i="1">
                      <a:solidFill>
                        <a:schemeClr val="bg1"/>
                      </a:solidFill>
                      <a:latin typeface="Cambria Math" panose="02040503050406030204" pitchFamily="18" charset="0"/>
                    </a:rPr>
                    <m:t>𝒚</m:t>
                  </m:r>
                  <m:r>
                    <a:rPr lang="es-CO" sz="3000" b="1" i="1">
                      <a:solidFill>
                        <a:schemeClr val="bg1"/>
                      </a:solidFill>
                      <a:latin typeface="Cambria Math" panose="02040503050406030204" pitchFamily="18" charset="0"/>
                    </a:rPr>
                    <m:t>=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 m (x - </a:t>
              </a:r>
              <a14:m>
                <m:oMath xmlns:m="http://schemas.openxmlformats.org/officeDocument/2006/math">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a:t>
              </a:r>
            </a:p>
          </xdr:txBody>
        </xdr:sp>
      </mc:Choice>
      <mc:Fallback xmlns="">
        <xdr:sp macro="" textlink="">
          <xdr:nvSpPr>
            <xdr:cNvPr id="10" name="CuadroTexto 9"/>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3000" b="1" i="0">
                  <a:solidFill>
                    <a:schemeClr val="bg1"/>
                  </a:solidFill>
                  <a:latin typeface="Cambria Math" panose="02040503050406030204" pitchFamily="18" charset="0"/>
                </a:rPr>
                <a:t>𝒚= 𝒚_𝟏</a:t>
              </a:r>
              <a:r>
                <a:rPr lang="es-CO" sz="3000" b="1" i="1">
                  <a:solidFill>
                    <a:schemeClr val="bg1"/>
                  </a:solidFill>
                </a:rPr>
                <a:t> + m (x - </a:t>
              </a:r>
              <a:r>
                <a:rPr lang="es-CO" sz="3000" b="1" i="0">
                  <a:solidFill>
                    <a:schemeClr val="bg1"/>
                  </a:solidFill>
                  <a:latin typeface="Cambria Math" panose="02040503050406030204" pitchFamily="18" charset="0"/>
                </a:rPr>
                <a:t>𝒙_𝟏</a:t>
              </a:r>
              <a:r>
                <a:rPr lang="es-CO" sz="3000" b="1" i="1">
                  <a:solidFill>
                    <a:schemeClr val="bg1"/>
                  </a:solidFill>
                </a:rPr>
                <a:t>) </a:t>
              </a:r>
            </a:p>
          </xdr:txBody>
        </xdr:sp>
      </mc:Fallback>
    </mc:AlternateContent>
    <xdr:clientData/>
  </xdr:oneCellAnchor>
  <xdr:oneCellAnchor>
    <xdr:from>
      <xdr:col>10</xdr:col>
      <xdr:colOff>275038</xdr:colOff>
      <xdr:row>49</xdr:row>
      <xdr:rowOff>317276</xdr:rowOff>
    </xdr:from>
    <xdr:ext cx="1582337" cy="647129"/>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400-00000E000000}"/>
                </a:ext>
              </a:extLst>
            </xdr:cNvPr>
            <xdr:cNvSpPr txBox="1"/>
          </xdr:nvSpPr>
          <xdr:spPr>
            <a:xfrm>
              <a:off x="10788257" y="22760557"/>
              <a:ext cx="1582337" cy="64712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panose="02040503050406030204" pitchFamily="18" charset="0"/>
                          </a:rPr>
                        </m:ctrlPr>
                      </m:sSupPr>
                      <m:e>
                        <m:sSup>
                          <m:sSupPr>
                            <m:ctrlPr>
                              <a:rPr lang="es-CO" sz="1000" b="1" i="1">
                                <a:solidFill>
                                  <a:schemeClr val="tx1"/>
                                </a:solidFill>
                                <a:effectLst/>
                                <a:latin typeface="Cambria Math" panose="02040503050406030204" pitchFamily="18" charset="0"/>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panose="02040503050406030204" pitchFamily="18" charset="0"/>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𝒔𝒑</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panose="02040503050406030204" pitchFamily="18" charset="0"/>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panose="02040503050406030204" pitchFamily="18" charset="0"/>
                                    <a:ea typeface="+mn-ea"/>
                                    <a:cs typeface="+mn-cs"/>
                                  </a:rPr>
                                </m:ctrlPr>
                              </m:dPr>
                              <m:e>
                                <m:f>
                                  <m:fPr>
                                    <m:ctrlPr>
                                      <a:rPr lang="es-CO" sz="1000" b="1" i="1">
                                        <a:solidFill>
                                          <a:schemeClr val="tx1"/>
                                        </a:solidFill>
                                        <a:effectLst/>
                                        <a:latin typeface="Cambria Math" panose="02040503050406030204" pitchFamily="18" charset="0"/>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𝑽𝒔𝒑</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400-00000E000000}"/>
                </a:ext>
              </a:extLst>
            </xdr:cNvPr>
            <xdr:cNvSpPr txBox="1"/>
          </xdr:nvSpPr>
          <xdr:spPr>
            <a:xfrm>
              <a:off x="10788257" y="22760557"/>
              <a:ext cx="1582337" cy="64712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(𝑽_𝒔𝒑)∑_𝒊▒(𝝏𝑽𝒔𝒑/𝝏𝒙𝒊(𝒙𝒊))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19</xdr:col>
      <xdr:colOff>212913</xdr:colOff>
      <xdr:row>14</xdr:row>
      <xdr:rowOff>39654</xdr:rowOff>
    </xdr:from>
    <xdr:ext cx="610160" cy="184474"/>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400-00000F000000}"/>
                </a:ext>
              </a:extLst>
            </xdr:cNvPr>
            <xdr:cNvSpPr txBox="1"/>
          </xdr:nvSpPr>
          <xdr:spPr>
            <a:xfrm>
              <a:off x="13014513" y="5297454"/>
              <a:ext cx="610160" cy="184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14:m>
                <m:oMathPara xmlns:m="http://schemas.openxmlformats.org/officeDocument/2006/math">
                  <m:oMathParaPr>
                    <m:jc m:val="centerGroup"/>
                  </m:oMathParaPr>
                  <m:oMath xmlns:m="http://schemas.openxmlformats.org/officeDocument/2006/math">
                    <m:sSub>
                      <m:sSubPr>
                        <m:ctrlPr>
                          <a:rPr lang="es-CO" sz="1100" b="1" i="1">
                            <a:solidFill>
                              <a:schemeClr val="bg1"/>
                            </a:solidFill>
                            <a:latin typeface="Cambria Math" panose="02040503050406030204" pitchFamily="18" charset="0"/>
                            <a:cs typeface="Times New Roman" panose="02020603050405020304" pitchFamily="18" charset="0"/>
                          </a:rPr>
                        </m:ctrlPr>
                      </m:sSubPr>
                      <m:e>
                        <m:r>
                          <m:rPr>
                            <m:nor/>
                          </m:rPr>
                          <a:rPr lang="es-CO" sz="1100" b="1" i="1">
                            <a:solidFill>
                              <a:schemeClr val="bg1"/>
                            </a:solidFill>
                            <a:effectLst/>
                            <a:latin typeface="+mn-lt"/>
                            <a:ea typeface="+mn-ea"/>
                            <a:cs typeface="+mn-cs"/>
                          </a:rPr>
                          <m:t>s</m:t>
                        </m:r>
                        <m:r>
                          <m:rPr>
                            <m:nor/>
                          </m:rPr>
                          <a:rPr lang="es-CO" sz="1100" b="1" i="1">
                            <a:solidFill>
                              <a:schemeClr val="bg1"/>
                            </a:solidFill>
                            <a:effectLst/>
                            <a:latin typeface="+mn-lt"/>
                            <a:ea typeface="+mn-ea"/>
                            <a:cs typeface="+mn-cs"/>
                          </a:rPr>
                          <m:t>  </m:t>
                        </m:r>
                        <m:r>
                          <m:rPr>
                            <m:nor/>
                          </m:rPr>
                          <a:rPr lang="es-CO" sz="1100" b="1" i="1">
                            <a:solidFill>
                              <a:schemeClr val="bg1"/>
                            </a:solidFill>
                            <a:effectLst/>
                            <a:latin typeface="+mn-lt"/>
                            <a:ea typeface="+mn-ea"/>
                            <a:cs typeface="+mn-cs"/>
                          </a:rPr>
                          <m:t>D</m:t>
                        </m:r>
                      </m:e>
                      <m:sub>
                        <m:r>
                          <a:rPr lang="es-CO" sz="1100" b="1" i="1">
                            <a:solidFill>
                              <a:schemeClr val="bg1"/>
                            </a:solidFill>
                            <a:latin typeface="Cambria Math" panose="02040503050406030204" pitchFamily="18" charset="0"/>
                            <a:cs typeface="Times New Roman" panose="02020603050405020304" pitchFamily="18" charset="0"/>
                          </a:rPr>
                          <m:t>𝒑𝒓𝒐𝒎</m:t>
                        </m:r>
                      </m:sub>
                    </m:sSub>
                  </m:oMath>
                </m:oMathPara>
              </a14:m>
              <a:endParaRPr lang="es-CO" sz="1100" b="1" i="1">
                <a:solidFill>
                  <a:schemeClr val="bg1"/>
                </a:solidFill>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xdr:cNvSpPr txBox="1"/>
          </xdr:nvSpPr>
          <xdr:spPr>
            <a:xfrm>
              <a:off x="13014513" y="5297454"/>
              <a:ext cx="610160" cy="184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r>
                <a:rPr lang="es-CO" sz="1100" b="1" i="0">
                  <a:solidFill>
                    <a:schemeClr val="bg1"/>
                  </a:solidFill>
                  <a:latin typeface="Cambria Math" panose="02040503050406030204" pitchFamily="18" charset="0"/>
                  <a:cs typeface="Times New Roman" panose="02020603050405020304" pitchFamily="18" charset="0"/>
                </a:rPr>
                <a:t>〖</a:t>
              </a:r>
              <a:r>
                <a:rPr lang="es-CO" sz="1100" b="1" i="0">
                  <a:solidFill>
                    <a:schemeClr val="bg1"/>
                  </a:solidFill>
                  <a:effectLst/>
                  <a:latin typeface="+mn-lt"/>
                  <a:ea typeface="+mn-ea"/>
                  <a:cs typeface="+mn-cs"/>
                </a:rPr>
                <a:t>"s  D</a:t>
              </a:r>
              <a:r>
                <a:rPr lang="es-CO" sz="1100" b="1" i="0">
                  <a:solidFill>
                    <a:schemeClr val="bg1"/>
                  </a:solidFill>
                  <a:effectLst/>
                  <a:latin typeface="Cambria Math" panose="02040503050406030204" pitchFamily="18" charset="0"/>
                  <a:ea typeface="+mn-ea"/>
                  <a:cs typeface="+mn-cs"/>
                </a:rPr>
                <a:t>" 〗_</a:t>
              </a:r>
              <a:r>
                <a:rPr lang="es-CO" sz="1100" b="1" i="0">
                  <a:solidFill>
                    <a:schemeClr val="bg1"/>
                  </a:solidFill>
                  <a:latin typeface="Cambria Math" panose="02040503050406030204" pitchFamily="18" charset="0"/>
                  <a:cs typeface="Times New Roman" panose="02020603050405020304" pitchFamily="18" charset="0"/>
                </a:rPr>
                <a:t>𝒑𝒓𝒐𝒎</a:t>
              </a:r>
              <a:endParaRPr lang="es-CO" sz="1100" b="1" i="1">
                <a:solidFill>
                  <a:schemeClr val="bg1"/>
                </a:solidFill>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2</xdr:col>
      <xdr:colOff>275905</xdr:colOff>
      <xdr:row>31</xdr:row>
      <xdr:rowOff>95250</xdr:rowOff>
    </xdr:from>
    <xdr:ext cx="2540773" cy="284693"/>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id="{00000000-0008-0000-0400-000010000000}"/>
                </a:ext>
              </a:extLst>
            </xdr:cNvPr>
            <xdr:cNvSpPr txBox="1"/>
          </xdr:nvSpPr>
          <xdr:spPr>
            <a:xfrm>
              <a:off x="2371405" y="14355536"/>
              <a:ext cx="2540773" cy="284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14:m>
                <m:oMath xmlns:m="http://schemas.openxmlformats.org/officeDocument/2006/math">
                  <m:sSub>
                    <m:sSubPr>
                      <m:ctrlPr>
                        <a:rPr lang="es-CO" sz="800" b="1" i="1">
                          <a:latin typeface="Cambria Math" panose="02040503050406030204" pitchFamily="18" charset="0"/>
                        </a:rPr>
                      </m:ctrlPr>
                    </m:sSubPr>
                    <m:e>
                      <m:r>
                        <m:rPr>
                          <m:nor/>
                        </m:rPr>
                        <a:rPr lang="es-CO" sz="800" b="1">
                          <a:solidFill>
                            <a:schemeClr val="tx1"/>
                          </a:solidFill>
                          <a:effectLst/>
                          <a:latin typeface="+mn-lt"/>
                          <a:ea typeface="+mn-ea"/>
                          <a:cs typeface="+mn-cs"/>
                        </a:rPr>
                        <m:t>V</m:t>
                      </m:r>
                    </m:e>
                    <m:sub>
                      <m:r>
                        <a:rPr lang="es-CO" sz="800" b="1" i="1">
                          <a:latin typeface="Cambria Math" panose="02040503050406030204" pitchFamily="18" charset="0"/>
                        </a:rPr>
                        <m:t>𝑴𝒂𝒙</m:t>
                      </m:r>
                    </m:sub>
                  </m:sSub>
                </m:oMath>
              </a14:m>
              <a:r>
                <a:rPr lang="es-CO" sz="800" b="1"/>
                <a:t>) =</a:t>
              </a:r>
              <a:r>
                <a:rPr lang="es-CO" sz="800" b="1" baseline="0"/>
                <a:t> </a:t>
              </a:r>
              <a14:m>
                <m:oMath xmlns:m="http://schemas.openxmlformats.org/officeDocument/2006/math">
                  <m:rad>
                    <m:radPr>
                      <m:degHide m:val="on"/>
                      <m:ctrlPr>
                        <a:rPr lang="es-CO" sz="800" b="1" i="1" baseline="0">
                          <a:latin typeface="Cambria Math" panose="02040503050406030204" pitchFamily="18" charset="0"/>
                        </a:rPr>
                      </m:ctrlPr>
                    </m:radPr>
                    <m:deg/>
                    <m:e>
                      <m:sSubSup>
                        <m:sSubSupPr>
                          <m:ctrlPr>
                            <a:rPr lang="es-CO" sz="800" b="1" i="1" baseline="0">
                              <a:latin typeface="Cambria Math" panose="02040503050406030204" pitchFamily="18" charset="0"/>
                            </a:rPr>
                          </m:ctrlPr>
                        </m:sSubSupPr>
                        <m:e>
                          <m:r>
                            <a:rPr lang="es-CO" sz="800" b="1" i="1" baseline="0">
                              <a:latin typeface="Cambria Math" panose="02040503050406030204" pitchFamily="18" charset="0"/>
                            </a:rPr>
                            <m:t>𝒖</m:t>
                          </m:r>
                        </m:e>
                        <m:sub>
                          <m:r>
                            <a:rPr lang="es-CO" sz="800" b="1" i="1" baseline="0">
                              <a:latin typeface="Cambria Math" panose="02040503050406030204" pitchFamily="18" charset="0"/>
                            </a:rPr>
                            <m:t>𝒄𝒂𝒍</m:t>
                          </m:r>
                        </m:sub>
                        <m:sup>
                          <m:r>
                            <a:rPr lang="es-CO" sz="800" b="1" i="1" baseline="0">
                              <a:latin typeface="Cambria Math" panose="02040503050406030204" pitchFamily="18" charset="0"/>
                            </a:rPr>
                            <m:t>𝟐</m:t>
                          </m:r>
                        </m:sup>
                      </m:sSubSup>
                    </m:e>
                  </m:rad>
                  <m:r>
                    <a:rPr lang="es-CO" sz="800" b="1" i="1" baseline="0">
                      <a:latin typeface="Cambria Math" panose="02040503050406030204" pitchFamily="18" charset="0"/>
                    </a:rPr>
                    <m:t>(</m:t>
                  </m:r>
                  <m:sSub>
                    <m:sSubPr>
                      <m:ctrlPr>
                        <a:rPr lang="es-CO" sz="800" b="1" i="1" baseline="0">
                          <a:latin typeface="Cambria Math" panose="02040503050406030204" pitchFamily="18" charset="0"/>
                        </a:rPr>
                      </m:ctrlPr>
                    </m:sSubPr>
                    <m:e>
                      <m:r>
                        <a:rPr lang="es-CO" sz="800" b="1" i="1" baseline="0">
                          <a:latin typeface="Cambria Math" panose="02040503050406030204" pitchFamily="18" charset="0"/>
                        </a:rPr>
                        <m:t>𝑽</m:t>
                      </m:r>
                    </m:e>
                    <m:sub>
                      <m:r>
                        <a:rPr lang="es-CO" sz="800" b="1" i="1" baseline="0">
                          <a:latin typeface="Cambria Math" panose="02040503050406030204" pitchFamily="18" charset="0"/>
                        </a:rPr>
                        <m:t>𝒔𝒑</m:t>
                      </m:r>
                    </m:sub>
                  </m:sSub>
                  <m:r>
                    <a:rPr lang="es-CO" sz="800" b="1" i="1" baseline="0">
                      <a:latin typeface="Cambria Math" panose="02040503050406030204" pitchFamily="18" charset="0"/>
                    </a:rPr>
                    <m:t>)</m:t>
                  </m:r>
                </m:oMath>
              </a14:m>
              <a:r>
                <a:rPr lang="es-CO" sz="800" b="1"/>
                <a:t> + </a:t>
              </a:r>
              <a14:m>
                <m:oMath xmlns:m="http://schemas.openxmlformats.org/officeDocument/2006/math">
                  <m:sSup>
                    <m:sSupPr>
                      <m:ctrlPr>
                        <a:rPr lang="es-CO" sz="1100" i="1">
                          <a:latin typeface="Cambria Math" panose="02040503050406030204" pitchFamily="18" charset="0"/>
                        </a:rPr>
                      </m:ctrlPr>
                    </m:sSupPr>
                    <m:e>
                      <m:r>
                        <m:rPr>
                          <m:nor/>
                        </m:rPr>
                        <a:rPr lang="es-CO" sz="1100">
                          <a:solidFill>
                            <a:schemeClr val="tx1"/>
                          </a:solidFill>
                          <a:effectLst/>
                          <a:latin typeface="+mn-lt"/>
                          <a:ea typeface="+mn-ea"/>
                          <a:cs typeface="+mn-cs"/>
                        </a:rPr>
                        <m:t>(</m:t>
                      </m:r>
                      <m:f>
                        <m:fPr>
                          <m:ctrlPr>
                            <a:rPr lang="es-CO" sz="1100" b="1" i="1">
                              <a:solidFill>
                                <a:schemeClr val="tx1"/>
                              </a:solidFill>
                              <a:effectLst/>
                              <a:latin typeface="Cambria Math" panose="02040503050406030204" pitchFamily="18" charset="0"/>
                              <a:ea typeface="+mn-ea"/>
                              <a:cs typeface="+mn-cs"/>
                            </a:rPr>
                          </m:ctrlPr>
                        </m:fPr>
                        <m:num>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panose="02040503050406030204" pitchFamily="18" charset="0"/>
                                  <a:ea typeface="+mn-ea"/>
                                  <a:cs typeface="+mn-cs"/>
                                </a:rPr>
                                <m:t>𝑬</m:t>
                              </m:r>
                            </m:e>
                            <m:sub>
                              <m:r>
                                <a:rPr lang="es-CO" sz="1100" b="1" i="1">
                                  <a:solidFill>
                                    <a:schemeClr val="tx1"/>
                                  </a:solidFill>
                                  <a:effectLst/>
                                  <a:latin typeface="Cambria Math" panose="02040503050406030204" pitchFamily="18" charset="0"/>
                                  <a:ea typeface="+mn-ea"/>
                                  <a:cs typeface="+mn-cs"/>
                                </a:rPr>
                                <m:t>𝑴𝒂𝒙</m:t>
                              </m:r>
                            </m:sub>
                          </m:sSub>
                          <m:r>
                            <a:rPr lang="es-CO" sz="1100" b="1" i="1">
                              <a:solidFill>
                                <a:schemeClr val="tx1"/>
                              </a:solidFill>
                              <a:effectLst/>
                              <a:latin typeface="Cambria Math" panose="02040503050406030204" pitchFamily="18" charset="0"/>
                              <a:ea typeface="+mn-ea"/>
                              <a:cs typeface="+mn-cs"/>
                            </a:rPr>
                            <m:t> − </m:t>
                          </m:r>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panose="02040503050406030204" pitchFamily="18" charset="0"/>
                                  <a:ea typeface="+mn-ea"/>
                                  <a:cs typeface="+mn-cs"/>
                                </a:rPr>
                                <m:t>𝑬</m:t>
                              </m:r>
                            </m:e>
                            <m:sub>
                              <m:r>
                                <a:rPr lang="es-CO" sz="1100" b="1" i="1">
                                  <a:solidFill>
                                    <a:schemeClr val="tx1"/>
                                  </a:solidFill>
                                  <a:effectLst/>
                                  <a:latin typeface="Cambria Math" panose="02040503050406030204" pitchFamily="18" charset="0"/>
                                  <a:ea typeface="+mn-ea"/>
                                  <a:cs typeface="+mn-cs"/>
                                </a:rPr>
                                <m:t>𝑴𝒊𝒏</m:t>
                              </m:r>
                            </m:sub>
                          </m:sSub>
                        </m:num>
                        <m:den>
                          <m:rad>
                            <m:radPr>
                              <m:degHide m:val="on"/>
                              <m:ctrlPr>
                                <a:rPr lang="es-CO" sz="1100" b="1" i="1">
                                  <a:solidFill>
                                    <a:schemeClr val="tx1"/>
                                  </a:solidFill>
                                  <a:effectLst/>
                                  <a:latin typeface="Cambria Math" panose="02040503050406030204" pitchFamily="18" charset="0"/>
                                  <a:ea typeface="+mn-ea"/>
                                  <a:cs typeface="+mn-cs"/>
                                </a:rPr>
                              </m:ctrlPr>
                            </m:radPr>
                            <m:deg/>
                            <m:e>
                              <m:r>
                                <a:rPr lang="es-CO" sz="1100" b="1" i="1">
                                  <a:solidFill>
                                    <a:schemeClr val="tx1"/>
                                  </a:solidFill>
                                  <a:effectLst/>
                                  <a:latin typeface="Cambria Math" panose="02040503050406030204" pitchFamily="18" charset="0"/>
                                  <a:ea typeface="+mn-ea"/>
                                  <a:cs typeface="+mn-cs"/>
                                </a:rPr>
                                <m:t>𝟏𝟐</m:t>
                              </m:r>
                            </m:e>
                          </m:rad>
                        </m:den>
                      </m:f>
                      <m:r>
                        <m:rPr>
                          <m:nor/>
                        </m:rPr>
                        <a:rPr lang="es-CO" sz="1100" b="1">
                          <a:solidFill>
                            <a:schemeClr val="tx1"/>
                          </a:solidFill>
                          <a:effectLst/>
                          <a:latin typeface="+mn-lt"/>
                          <a:ea typeface="+mn-ea"/>
                          <a:cs typeface="+mn-cs"/>
                        </a:rPr>
                        <m:t>)</m:t>
                      </m:r>
                      <m:r>
                        <m:rPr>
                          <m:nor/>
                        </m:rPr>
                        <a:rPr lang="es-CO" sz="1100" b="1">
                          <a:effectLst/>
                        </a:rPr>
                        <m:t> </m:t>
                      </m:r>
                    </m:e>
                    <m:sup>
                      <m:r>
                        <a:rPr lang="es-CO" sz="1100" b="0" i="1">
                          <a:latin typeface="Cambria Math" panose="02040503050406030204" pitchFamily="18" charset="0"/>
                        </a:rPr>
                        <m:t>2</m:t>
                      </m:r>
                    </m:sup>
                  </m:sSup>
                </m:oMath>
              </a14:m>
              <a:endParaRPr lang="es-CO" sz="1100"/>
            </a:p>
          </xdr:txBody>
        </xdr:sp>
      </mc:Choice>
      <mc:Fallback xmlns="">
        <xdr:sp macro="" textlink="">
          <xdr:nvSpPr>
            <xdr:cNvPr id="16" name="CuadroTexto 15"/>
            <xdr:cNvSpPr txBox="1"/>
          </xdr:nvSpPr>
          <xdr:spPr>
            <a:xfrm>
              <a:off x="2371405" y="14355536"/>
              <a:ext cx="2540773" cy="284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r>
                <a:rPr lang="es-CO" sz="800" b="1" i="0">
                  <a:solidFill>
                    <a:schemeClr val="tx1"/>
                  </a:solidFill>
                  <a:effectLst/>
                  <a:latin typeface="+mn-lt"/>
                  <a:ea typeface="+mn-ea"/>
                  <a:cs typeface="+mn-cs"/>
                </a:rPr>
                <a:t>"V</a:t>
              </a:r>
              <a:r>
                <a:rPr lang="es-CO" sz="800" b="1" i="0">
                  <a:solidFill>
                    <a:schemeClr val="tx1"/>
                  </a:solidFill>
                  <a:effectLst/>
                  <a:latin typeface="Cambria Math" panose="02040503050406030204" pitchFamily="18" charset="0"/>
                  <a:ea typeface="+mn-ea"/>
                  <a:cs typeface="+mn-cs"/>
                </a:rPr>
                <a:t>" _</a:t>
              </a:r>
              <a:r>
                <a:rPr lang="es-CO" sz="800" b="1" i="0">
                  <a:latin typeface="Cambria Math" panose="02040503050406030204" pitchFamily="18" charset="0"/>
                </a:rPr>
                <a:t>𝑴𝒂𝒙</a:t>
              </a:r>
              <a:r>
                <a:rPr lang="es-CO" sz="800" b="1"/>
                <a:t>) =</a:t>
              </a:r>
              <a:r>
                <a:rPr lang="es-CO" sz="800" b="1" baseline="0"/>
                <a:t> </a:t>
              </a:r>
              <a:r>
                <a:rPr lang="es-CO" sz="800" b="1" i="0" baseline="0">
                  <a:latin typeface="Cambria Math" panose="02040503050406030204" pitchFamily="18" charset="0"/>
                </a:rPr>
                <a:t>√(𝒖_𝒄𝒂𝒍^𝟐 )(𝑽_𝒔𝒑)</a:t>
              </a:r>
              <a:r>
                <a:rPr lang="es-CO" sz="800" b="1"/>
                <a:t> + </a:t>
              </a:r>
              <a:r>
                <a:rPr lang="es-CO" sz="1100" i="0">
                  <a:latin typeface="Cambria Math" panose="02040503050406030204" pitchFamily="18" charset="0"/>
                </a:rPr>
                <a:t>〖</a:t>
              </a:r>
              <a:r>
                <a:rPr lang="es-CO" sz="1100" i="0">
                  <a:solidFill>
                    <a:schemeClr val="tx1"/>
                  </a:solidFill>
                  <a:effectLst/>
                  <a:latin typeface="+mn-lt"/>
                  <a:ea typeface="+mn-ea"/>
                  <a:cs typeface="+mn-cs"/>
                </a:rPr>
                <a:t>"(</a:t>
              </a:r>
              <a:r>
                <a:rPr lang="es-CO" sz="1100" b="1" i="0">
                  <a:solidFill>
                    <a:schemeClr val="tx1"/>
                  </a:solidFill>
                  <a:effectLst/>
                  <a:latin typeface="Cambria Math" panose="02040503050406030204" pitchFamily="18" charset="0"/>
                  <a:ea typeface="+mn-ea"/>
                  <a:cs typeface="+mn-cs"/>
                </a:rPr>
                <a:t>"  (𝑬_𝑴𝒂𝒙  − 𝑬_𝑴𝒊𝒏)/√𝟏𝟐</a:t>
              </a:r>
              <a:r>
                <a:rPr lang="es-CO" sz="1100" b="1" i="0">
                  <a:solidFill>
                    <a:schemeClr val="tx1"/>
                  </a:solidFill>
                  <a:effectLst/>
                  <a:latin typeface="+mn-lt"/>
                  <a:ea typeface="+mn-ea"/>
                  <a:cs typeface="+mn-cs"/>
                </a:rPr>
                <a:t> ")</a:t>
              </a:r>
              <a:r>
                <a:rPr lang="es-CO" sz="1100" b="1" i="0">
                  <a:effectLst/>
                </a:rPr>
                <a:t> </a:t>
              </a:r>
              <a:r>
                <a:rPr lang="es-CO" sz="1100" b="1" i="0">
                  <a:effectLst/>
                  <a:latin typeface="Cambria Math" panose="02040503050406030204" pitchFamily="18" charset="0"/>
                </a:rPr>
                <a:t>" 〗^</a:t>
              </a:r>
              <a:r>
                <a:rPr lang="es-CO" sz="1100" b="0" i="0">
                  <a:latin typeface="Cambria Math" panose="02040503050406030204" pitchFamily="18" charset="0"/>
                </a:rPr>
                <a:t>2</a:t>
              </a:r>
              <a:endParaRPr lang="es-CO" sz="1100"/>
            </a:p>
          </xdr:txBody>
        </xdr:sp>
      </mc:Fallback>
    </mc:AlternateContent>
    <xdr:clientData/>
  </xdr:oneCellAnchor>
  <xdr:oneCellAnchor>
    <xdr:from>
      <xdr:col>20</xdr:col>
      <xdr:colOff>191239</xdr:colOff>
      <xdr:row>18</xdr:row>
      <xdr:rowOff>85618</xdr:rowOff>
    </xdr:from>
    <xdr:ext cx="525812" cy="172227"/>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400-000012000000}"/>
                </a:ext>
              </a:extLst>
            </xdr:cNvPr>
            <xdr:cNvSpPr txBox="1"/>
          </xdr:nvSpPr>
          <xdr:spPr>
            <a:xfrm>
              <a:off x="12992839" y="6867418"/>
              <a:ext cx="525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solidFill>
                          <a:schemeClr val="bg1"/>
                        </a:solidFill>
                        <a:effectLst/>
                        <a:latin typeface="Cambria Math" panose="02040503050406030204" pitchFamily="18" charset="0"/>
                        <a:ea typeface="+mn-ea"/>
                        <a:cs typeface="+mn-cs"/>
                      </a:rPr>
                      <m:t>∆</m:t>
                    </m:r>
                    <m:sSub>
                      <m:sSubPr>
                        <m:ctrlPr>
                          <a:rPr lang="es-CO" sz="1100" b="1" i="1">
                            <a:solidFill>
                              <a:schemeClr val="bg1"/>
                            </a:solidFill>
                            <a:effectLst/>
                            <a:latin typeface="Cambria Math" panose="02040503050406030204" pitchFamily="18" charset="0"/>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𝑴𝒂𝒙</m:t>
                        </m:r>
                      </m:sub>
                    </m:sSub>
                  </m:oMath>
                </m:oMathPara>
              </a14:m>
              <a:endParaRPr lang="es-CO" sz="1100">
                <a:solidFill>
                  <a:schemeClr val="bg1"/>
                </a:solidFill>
              </a:endParaRPr>
            </a:p>
          </xdr:txBody>
        </xdr:sp>
      </mc:Choice>
      <mc:Fallback xmlns="">
        <xdr:sp macro="" textlink="">
          <xdr:nvSpPr>
            <xdr:cNvPr id="18" name="CuadroTexto 17"/>
            <xdr:cNvSpPr txBox="1"/>
          </xdr:nvSpPr>
          <xdr:spPr>
            <a:xfrm>
              <a:off x="12992839" y="6867418"/>
              <a:ext cx="525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effectLst/>
                  <a:latin typeface="Cambria Math" panose="02040503050406030204" pitchFamily="18" charset="0"/>
                  <a:ea typeface="+mn-ea"/>
                  <a:cs typeface="+mn-cs"/>
                </a:rPr>
                <a:t>∆𝑽_𝑴𝒂𝒙</a:t>
              </a:r>
              <a:endParaRPr lang="es-CO" sz="1100">
                <a:solidFill>
                  <a:schemeClr val="bg1"/>
                </a:solidFill>
              </a:endParaRPr>
            </a:p>
          </xdr:txBody>
        </xdr:sp>
      </mc:Fallback>
    </mc:AlternateContent>
    <xdr:clientData/>
  </xdr:oneCellAnchor>
  <xdr:oneCellAnchor>
    <xdr:from>
      <xdr:col>20</xdr:col>
      <xdr:colOff>134471</xdr:colOff>
      <xdr:row>17</xdr:row>
      <xdr:rowOff>123265</xdr:rowOff>
    </xdr:from>
    <xdr:ext cx="681319" cy="175113"/>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400-000013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sSub>
                          <m:sSubPr>
                            <m:ctrlPr>
                              <a:rPr lang="es-CO" sz="1100" b="1" i="1">
                                <a:solidFill>
                                  <a:schemeClr val="bg1"/>
                                </a:solidFill>
                                <a:effectLst/>
                                <a:latin typeface="Cambria Math" panose="02040503050406030204" pitchFamily="18" charset="0"/>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𝑴𝒊𝒏</m:t>
                            </m:r>
                          </m:sub>
                        </m:sSub>
                      </m:e>
                    </m:acc>
                  </m:oMath>
                </m:oMathPara>
              </a14:m>
              <a:endParaRPr lang="es-CO" sz="1100" b="1">
                <a:solidFill>
                  <a:schemeClr val="bg1"/>
                </a:solidFill>
              </a:endParaRPr>
            </a:p>
          </xdr:txBody>
        </xdr:sp>
      </mc:Choice>
      <mc:Fallback xmlns="">
        <xdr:sp macro="" textlink="">
          <xdr:nvSpPr>
            <xdr:cNvPr id="19" name="CuadroTexto 18"/>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effectLst/>
                  <a:latin typeface="Cambria Math" panose="02040503050406030204" pitchFamily="18" charset="0"/>
                  <a:ea typeface="+mn-ea"/>
                  <a:cs typeface="+mn-cs"/>
                </a:rPr>
                <a:t>𝑽_𝑴𝒊𝒏 ) ̅</a:t>
              </a:r>
              <a:endParaRPr lang="es-CO" sz="1100" b="1">
                <a:solidFill>
                  <a:schemeClr val="bg1"/>
                </a:solidFill>
              </a:endParaRPr>
            </a:p>
          </xdr:txBody>
        </xdr:sp>
      </mc:Fallback>
    </mc:AlternateContent>
    <xdr:clientData/>
  </xdr:oneCellAnchor>
  <xdr:oneCellAnchor>
    <xdr:from>
      <xdr:col>20</xdr:col>
      <xdr:colOff>197261</xdr:colOff>
      <xdr:row>19</xdr:row>
      <xdr:rowOff>64214</xdr:rowOff>
    </xdr:from>
    <xdr:ext cx="487684" cy="226276"/>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id="{00000000-0008-0000-0400-000018000000}"/>
                </a:ext>
              </a:extLst>
            </xdr:cNvPr>
            <xdr:cNvSpPr txBox="1"/>
          </xdr:nvSpPr>
          <xdr:spPr>
            <a:xfrm>
              <a:off x="12998861" y="7227014"/>
              <a:ext cx="487684" cy="226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100" b="0" i="1">
                        <a:solidFill>
                          <a:schemeClr val="bg1"/>
                        </a:solidFill>
                        <a:effectLst/>
                        <a:latin typeface="Cambria Math" panose="02040503050406030204" pitchFamily="18" charset="0"/>
                        <a:ea typeface="+mn-ea"/>
                        <a:cs typeface="+mn-cs"/>
                      </a:rPr>
                      <m:t>∆</m:t>
                    </m:r>
                    <m:sSub>
                      <m:sSubPr>
                        <m:ctrlPr>
                          <a:rPr lang="es-CO" sz="1100" b="0" i="1">
                            <a:solidFill>
                              <a:schemeClr val="bg1"/>
                            </a:solidFill>
                            <a:effectLst/>
                            <a:latin typeface="Cambria Math" panose="02040503050406030204" pitchFamily="18" charset="0"/>
                            <a:ea typeface="+mn-ea"/>
                            <a:cs typeface="+mn-cs"/>
                          </a:rPr>
                        </m:ctrlPr>
                      </m:sSubPr>
                      <m:e>
                        <m:r>
                          <a:rPr lang="es-CO" sz="1100" b="0" i="1">
                            <a:solidFill>
                              <a:schemeClr val="bg1"/>
                            </a:solidFill>
                            <a:effectLst/>
                            <a:latin typeface="Cambria Math" panose="02040503050406030204" pitchFamily="18" charset="0"/>
                            <a:ea typeface="+mn-ea"/>
                            <a:cs typeface="+mn-cs"/>
                          </a:rPr>
                          <m:t>𝑉</m:t>
                        </m:r>
                      </m:e>
                      <m:sub>
                        <m:r>
                          <a:rPr lang="es-CO" sz="1100" b="0" i="1">
                            <a:solidFill>
                              <a:schemeClr val="bg1"/>
                            </a:solidFill>
                            <a:effectLst/>
                            <a:latin typeface="Cambria Math" panose="02040503050406030204" pitchFamily="18" charset="0"/>
                            <a:ea typeface="+mn-ea"/>
                            <a:cs typeface="+mn-cs"/>
                          </a:rPr>
                          <m:t>𝑀𝑖𝑛</m:t>
                        </m:r>
                      </m:sub>
                    </m:sSub>
                  </m:oMath>
                </m:oMathPara>
              </a14:m>
              <a:endParaRPr lang="es-CO" sz="1100" b="0">
                <a:solidFill>
                  <a:schemeClr val="bg1"/>
                </a:solidFill>
              </a:endParaRPr>
            </a:p>
          </xdr:txBody>
        </xdr:sp>
      </mc:Choice>
      <mc:Fallback xmlns="">
        <xdr:sp macro="" textlink="">
          <xdr:nvSpPr>
            <xdr:cNvPr id="24" name="CuadroTexto 23"/>
            <xdr:cNvSpPr txBox="1"/>
          </xdr:nvSpPr>
          <xdr:spPr>
            <a:xfrm>
              <a:off x="12998861" y="7227014"/>
              <a:ext cx="487684" cy="226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0" i="0">
                  <a:solidFill>
                    <a:schemeClr val="bg1"/>
                  </a:solidFill>
                  <a:effectLst/>
                  <a:latin typeface="Cambria Math" panose="02040503050406030204" pitchFamily="18" charset="0"/>
                  <a:ea typeface="+mn-ea"/>
                  <a:cs typeface="+mn-cs"/>
                </a:rPr>
                <a:t>∆𝑉_𝑀𝑖𝑛</a:t>
              </a:r>
              <a:endParaRPr lang="es-CO" sz="1100" b="0">
                <a:solidFill>
                  <a:schemeClr val="bg1"/>
                </a:solidFill>
              </a:endParaRPr>
            </a:p>
          </xdr:txBody>
        </xdr:sp>
      </mc:Fallback>
    </mc:AlternateContent>
    <xdr:clientData/>
  </xdr:oneCellAnchor>
  <xdr:oneCellAnchor>
    <xdr:from>
      <xdr:col>2</xdr:col>
      <xdr:colOff>269421</xdr:colOff>
      <xdr:row>44</xdr:row>
      <xdr:rowOff>299357</xdr:rowOff>
    </xdr:from>
    <xdr:ext cx="900793" cy="172227"/>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400-000019000000}"/>
                </a:ext>
              </a:extLst>
            </xdr:cNvPr>
            <xdr:cNvSpPr txBox="1"/>
          </xdr:nvSpPr>
          <xdr:spPr>
            <a:xfrm>
              <a:off x="2364921" y="20206607"/>
              <a:ext cx="90079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𝒎𝒂𝒙</m:t>
                        </m:r>
                      </m:sub>
                    </m:sSub>
                  </m:oMath>
                </m:oMathPara>
              </a14:m>
              <a:endParaRPr lang="es-CO" sz="1100" b="1"/>
            </a:p>
          </xdr:txBody>
        </xdr:sp>
      </mc:Choice>
      <mc:Fallback xmlns="">
        <xdr:sp macro="" textlink="">
          <xdr:nvSpPr>
            <xdr:cNvPr id="25" name="CuadroTexto 24"/>
            <xdr:cNvSpPr txBox="1"/>
          </xdr:nvSpPr>
          <xdr:spPr>
            <a:xfrm>
              <a:off x="2364921" y="20206607"/>
              <a:ext cx="90079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𝒎𝒂𝒙</a:t>
              </a:r>
              <a:endParaRPr lang="es-CO" sz="1100" b="1"/>
            </a:p>
          </xdr:txBody>
        </xdr:sp>
      </mc:Fallback>
    </mc:AlternateContent>
    <xdr:clientData/>
  </xdr:oneCellAnchor>
  <xdr:oneCellAnchor>
    <xdr:from>
      <xdr:col>2</xdr:col>
      <xdr:colOff>408644</xdr:colOff>
      <xdr:row>47</xdr:row>
      <xdr:rowOff>257176</xdr:rowOff>
    </xdr:from>
    <xdr:ext cx="465320" cy="172227"/>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400-00001B000000}"/>
                </a:ext>
              </a:extLst>
            </xdr:cNvPr>
            <xdr:cNvSpPr txBox="1"/>
          </xdr:nvSpPr>
          <xdr:spPr>
            <a:xfrm>
              <a:off x="2504144" y="21674819"/>
              <a:ext cx="4653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𝒊𝒏𝒉𝒐</m:t>
                        </m:r>
                        <m:r>
                          <a:rPr lang="es-CO" sz="1100" b="1" i="1">
                            <a:latin typeface="Cambria Math" panose="02040503050406030204" pitchFamily="18" charset="0"/>
                            <a:ea typeface="Cambria Math" panose="02040503050406030204" pitchFamily="18" charset="0"/>
                          </a:rPr>
                          <m:t> </m:t>
                        </m:r>
                      </m:sub>
                    </m:sSub>
                  </m:oMath>
                </m:oMathPara>
              </a14:m>
              <a:endParaRPr lang="es-CO" sz="1100" b="1"/>
            </a:p>
          </xdr:txBody>
        </xdr:sp>
      </mc:Choice>
      <mc:Fallback xmlns="">
        <xdr:sp macro="" textlink="">
          <xdr:nvSpPr>
            <xdr:cNvPr id="27" name="CuadroTexto 26"/>
            <xdr:cNvSpPr txBox="1"/>
          </xdr:nvSpPr>
          <xdr:spPr>
            <a:xfrm>
              <a:off x="2504144" y="21674819"/>
              <a:ext cx="4653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𝒊𝒏𝒉𝒐 )</a:t>
              </a:r>
              <a:endParaRPr lang="es-CO" sz="1100" b="1"/>
            </a:p>
          </xdr:txBody>
        </xdr:sp>
      </mc:Fallback>
    </mc:AlternateContent>
    <xdr:clientData/>
  </xdr:oneCellAnchor>
  <xdr:oneCellAnchor>
    <xdr:from>
      <xdr:col>1</xdr:col>
      <xdr:colOff>401984</xdr:colOff>
      <xdr:row>48</xdr:row>
      <xdr:rowOff>165505</xdr:rowOff>
    </xdr:from>
    <xdr:ext cx="1635291" cy="325795"/>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400-00001C000000}"/>
                </a:ext>
              </a:extLst>
            </xdr:cNvPr>
            <xdr:cNvSpPr txBox="1"/>
          </xdr:nvSpPr>
          <xdr:spPr>
            <a:xfrm>
              <a:off x="1449734" y="22086612"/>
              <a:ext cx="1635291" cy="32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000" b="1" i="1">
                        <a:latin typeface="Cambria Math" panose="02040503050406030204" pitchFamily="18" charset="0"/>
                      </a:rPr>
                      <m:t>𝒖</m:t>
                    </m:r>
                    <m:d>
                      <m:dPr>
                        <m:ctrlPr>
                          <a:rPr lang="es-CO" sz="1000" b="1" i="1">
                            <a:latin typeface="Cambria Math" panose="02040503050406030204" pitchFamily="18" charset="0"/>
                          </a:rPr>
                        </m:ctrlPr>
                      </m:dPr>
                      <m:e>
                        <m:sSub>
                          <m:sSubPr>
                            <m:ctrlPr>
                              <a:rPr lang="es-CO" sz="1000" b="1" i="1">
                                <a:latin typeface="Cambria Math" panose="02040503050406030204" pitchFamily="18" charset="0"/>
                              </a:rPr>
                            </m:ctrlPr>
                          </m:sSubPr>
                          <m:e>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𝑫</m:t>
                            </m:r>
                          </m:e>
                          <m:sub>
                            <m:r>
                              <a:rPr lang="es-CO" sz="1000" b="1" i="1">
                                <a:latin typeface="Cambria Math" panose="02040503050406030204" pitchFamily="18" charset="0"/>
                              </a:rPr>
                              <m:t>𝒎𝒆𝒕</m:t>
                            </m:r>
                          </m:sub>
                        </m:sSub>
                        <m:r>
                          <a:rPr lang="es-CO" sz="1000" b="1" i="1">
                            <a:latin typeface="Cambria Math" panose="02040503050406030204" pitchFamily="18" charset="0"/>
                          </a:rPr>
                          <m:t> </m:t>
                        </m:r>
                      </m:e>
                    </m:d>
                    <m:r>
                      <a:rPr lang="es-CO" sz="1000" b="1" i="1">
                        <a:latin typeface="Cambria Math" panose="02040503050406030204" pitchFamily="18" charset="0"/>
                      </a:rPr>
                      <m:t>=</m:t>
                    </m:r>
                    <m:f>
                      <m:fPr>
                        <m:ctrlPr>
                          <a:rPr lang="es-CO" sz="1000" b="1" i="1">
                            <a:latin typeface="Cambria Math" panose="02040503050406030204" pitchFamily="18" charset="0"/>
                          </a:rPr>
                        </m:ctrlPr>
                      </m:fPr>
                      <m:num>
                        <m:r>
                          <a:rPr lang="es-CO" sz="1000" b="1" i="1">
                            <a:latin typeface="Cambria Math" panose="02040503050406030204" pitchFamily="18" charset="0"/>
                          </a:rPr>
                          <m:t>𝒔</m:t>
                        </m:r>
                        <m:r>
                          <a:rPr lang="es-CO" sz="1000" b="1" i="1">
                            <a:latin typeface="Cambria Math" panose="02040503050406030204" pitchFamily="18" charset="0"/>
                          </a:rPr>
                          <m:t>(</m:t>
                        </m:r>
                        <m:sSub>
                          <m:sSubPr>
                            <m:ctrlPr>
                              <a:rPr lang="es-CO" sz="1000" b="1" i="1">
                                <a:latin typeface="Cambria Math" panose="02040503050406030204" pitchFamily="18" charset="0"/>
                              </a:rPr>
                            </m:ctrlPr>
                          </m:sSubPr>
                          <m:e>
                            <m:r>
                              <a:rPr lang="es-CO" sz="1000" b="1" i="1">
                                <a:latin typeface="Cambria Math" panose="02040503050406030204" pitchFamily="18" charset="0"/>
                              </a:rPr>
                              <m:t>𝑫</m:t>
                            </m:r>
                          </m:e>
                          <m:sub>
                            <m:r>
                              <a:rPr lang="es-CO" sz="1000" b="1" i="1">
                                <a:latin typeface="Cambria Math" panose="02040503050406030204" pitchFamily="18" charset="0"/>
                              </a:rPr>
                              <m:t>𝒑𝒓𝒐𝒎</m:t>
                            </m:r>
                          </m:sub>
                        </m:sSub>
                      </m:num>
                      <m:den>
                        <m:rad>
                          <m:radPr>
                            <m:degHide m:val="on"/>
                            <m:ctrlPr>
                              <a:rPr lang="es-CO" sz="1000" b="1" i="1">
                                <a:latin typeface="Cambria Math" panose="02040503050406030204" pitchFamily="18" charset="0"/>
                              </a:rPr>
                            </m:ctrlPr>
                          </m:radPr>
                          <m:deg/>
                          <m:e>
                            <m:r>
                              <a:rPr lang="es-CO" sz="1000" b="1" i="1">
                                <a:latin typeface="Cambria Math" panose="02040503050406030204" pitchFamily="18" charset="0"/>
                              </a:rPr>
                              <m:t>𝑵</m:t>
                            </m:r>
                          </m:e>
                        </m:rad>
                      </m:den>
                    </m:f>
                  </m:oMath>
                </m:oMathPara>
              </a14:m>
              <a:endParaRPr lang="es-CO" sz="1000" b="1" i="1" baseline="-25000"/>
            </a:p>
          </xdr:txBody>
        </xdr:sp>
      </mc:Choice>
      <mc:Fallback xmlns="">
        <xdr:sp macro="" textlink="">
          <xdr:nvSpPr>
            <xdr:cNvPr id="28" name="CuadroTexto 27"/>
            <xdr:cNvSpPr txBox="1"/>
          </xdr:nvSpPr>
          <xdr:spPr>
            <a:xfrm>
              <a:off x="1449734" y="22086612"/>
              <a:ext cx="1635291" cy="32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000" b="1" i="0">
                  <a:latin typeface="Cambria Math" panose="02040503050406030204" pitchFamily="18" charset="0"/>
                </a:rPr>
                <a:t>𝒖(〖</a:t>
              </a:r>
              <a:r>
                <a:rPr lang="es-CO" sz="1000" b="1" i="0">
                  <a:solidFill>
                    <a:schemeClr val="tx1"/>
                  </a:solidFill>
                  <a:effectLst/>
                  <a:latin typeface="Cambria Math" panose="02040503050406030204" pitchFamily="18" charset="0"/>
                  <a:ea typeface="+mn-ea"/>
                  <a:cs typeface="+mn-cs"/>
                </a:rPr>
                <a:t>∆𝑫〗_</a:t>
              </a:r>
              <a:r>
                <a:rPr lang="es-CO" sz="1000" b="1" i="0">
                  <a:latin typeface="Cambria Math" panose="02040503050406030204" pitchFamily="18" charset="0"/>
                </a:rPr>
                <a:t>𝒎𝒆𝒕  )=(𝒔(𝑫_𝒑𝒓𝒐𝒎)/√𝑵</a:t>
              </a:r>
              <a:endParaRPr lang="es-CO" sz="1000" b="1" i="1" baseline="-25000"/>
            </a:p>
          </xdr:txBody>
        </xdr:sp>
      </mc:Fallback>
    </mc:AlternateContent>
    <xdr:clientData/>
  </xdr:oneCellAnchor>
  <xdr:oneCellAnchor>
    <xdr:from>
      <xdr:col>12</xdr:col>
      <xdr:colOff>323850</xdr:colOff>
      <xdr:row>49</xdr:row>
      <xdr:rowOff>109537</xdr:rowOff>
    </xdr:from>
    <xdr:ext cx="345864" cy="172227"/>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id="{00000000-0008-0000-0400-00001D000000}"/>
                </a:ext>
              </a:extLst>
            </xdr:cNvPr>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r>
                      <a:rPr lang="es-CO" sz="1100" b="1" i="1">
                        <a:latin typeface="Cambria Math" panose="02040503050406030204" pitchFamily="18" charset="0"/>
                      </a:rPr>
                      <m:t>𝑫</m:t>
                    </m:r>
                    <m:r>
                      <a:rPr lang="es-CO" sz="1100" b="1" i="1">
                        <a:latin typeface="Cambria Math" panose="02040503050406030204" pitchFamily="18" charset="0"/>
                      </a:rPr>
                      <m:t>)</m:t>
                    </m:r>
                  </m:oMath>
                </m:oMathPara>
              </a14:m>
              <a:endParaRPr lang="es-CO" sz="1100" b="1"/>
            </a:p>
          </xdr:txBody>
        </xdr:sp>
      </mc:Choice>
      <mc:Fallback xmlns="">
        <xdr:sp macro="" textlink="">
          <xdr:nvSpPr>
            <xdr:cNvPr id="29" name="CuadroTexto 28"/>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𝒖(𝑫)</a:t>
              </a:r>
              <a:endParaRPr lang="es-CO" sz="1100" b="1"/>
            </a:p>
          </xdr:txBody>
        </xdr:sp>
      </mc:Fallback>
    </mc:AlternateContent>
    <xdr:clientData/>
  </xdr:oneCellAnchor>
  <xdr:oneCellAnchor>
    <xdr:from>
      <xdr:col>12</xdr:col>
      <xdr:colOff>351066</xdr:colOff>
      <xdr:row>8</xdr:row>
      <xdr:rowOff>232683</xdr:rowOff>
    </xdr:from>
    <xdr:ext cx="1690006" cy="670889"/>
    <mc:AlternateContent xmlns:mc="http://schemas.openxmlformats.org/markup-compatibility/2006" xmlns:a14="http://schemas.microsoft.com/office/drawing/2010/main">
      <mc:Choice Requires="a14">
        <xdr:sp macro="" textlink="">
          <xdr:nvSpPr>
            <xdr:cNvPr id="37" name="CuadroTexto 36">
              <a:extLst>
                <a:ext uri="{FF2B5EF4-FFF2-40B4-BE49-F238E27FC236}">
                  <a16:creationId xmlns:a16="http://schemas.microsoft.com/office/drawing/2014/main" id="{00000000-0008-0000-0400-000025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14:m>
                <m:oMath xmlns:m="http://schemas.openxmlformats.org/officeDocument/2006/math">
                  <m:f>
                    <m:fPr>
                      <m:ctrlPr>
                        <a:rPr lang="es-CO" sz="3000" b="1" i="1">
                          <a:solidFill>
                            <a:schemeClr val="bg1"/>
                          </a:solidFill>
                          <a:latin typeface="Cambria Math" panose="02040503050406030204" pitchFamily="18" charset="0"/>
                        </a:rPr>
                      </m:ctrlPr>
                    </m:fPr>
                    <m:num>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num>
                    <m:den>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den>
                  </m:f>
                </m:oMath>
              </a14:m>
              <a:endParaRPr lang="es-CO" sz="3000" b="1" i="1"/>
            </a:p>
          </xdr:txBody>
        </xdr:sp>
      </mc:Choice>
      <mc:Fallback xmlns="">
        <xdr:sp macro="" textlink="">
          <xdr:nvSpPr>
            <xdr:cNvPr id="37" name="CuadroTexto 36"/>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r>
                <a:rPr lang="es-CO" sz="3000" b="1" i="0">
                  <a:solidFill>
                    <a:schemeClr val="bg1"/>
                  </a:solidFill>
                  <a:latin typeface="Cambria Math" panose="02040503050406030204" pitchFamily="18" charset="0"/>
                </a:rPr>
                <a:t>(𝒚_𝟐  − 𝒚_𝟏)/(𝒙_𝟐  − 𝒙_𝟏 )</a:t>
              </a:r>
              <a:endParaRPr lang="es-CO" sz="3000" b="1" i="1"/>
            </a:p>
          </xdr:txBody>
        </xdr:sp>
      </mc:Fallback>
    </mc:AlternateContent>
    <xdr:clientData/>
  </xdr:oneCellAnchor>
  <xdr:oneCellAnchor>
    <xdr:from>
      <xdr:col>11</xdr:col>
      <xdr:colOff>692610</xdr:colOff>
      <xdr:row>7</xdr:row>
      <xdr:rowOff>69396</xdr:rowOff>
    </xdr:from>
    <xdr:ext cx="3192221" cy="469616"/>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400-000026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3000" b="1" i="1">
                      <a:solidFill>
                        <a:schemeClr val="bg1"/>
                      </a:solidFill>
                      <a:latin typeface="Cambria Math" panose="02040503050406030204" pitchFamily="18" charset="0"/>
                    </a:rPr>
                    <m:t>𝒚</m:t>
                  </m:r>
                  <m:r>
                    <a:rPr lang="es-CO" sz="3000" b="1" i="1">
                      <a:solidFill>
                        <a:schemeClr val="bg1"/>
                      </a:solidFill>
                      <a:latin typeface="Cambria Math" panose="02040503050406030204" pitchFamily="18" charset="0"/>
                    </a:rPr>
                    <m:t>=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 m (x - </a:t>
              </a:r>
              <a14:m>
                <m:oMath xmlns:m="http://schemas.openxmlformats.org/officeDocument/2006/math">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a:t>
              </a:r>
            </a:p>
          </xdr:txBody>
        </xdr:sp>
      </mc:Choice>
      <mc:Fallback xmlns="">
        <xdr:sp macro="" textlink="">
          <xdr:nvSpPr>
            <xdr:cNvPr id="38" name="CuadroTexto 37"/>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3000" b="1" i="0">
                  <a:solidFill>
                    <a:schemeClr val="bg1"/>
                  </a:solidFill>
                  <a:latin typeface="Cambria Math" panose="02040503050406030204" pitchFamily="18" charset="0"/>
                </a:rPr>
                <a:t>𝒚= 𝒚_𝟏</a:t>
              </a:r>
              <a:r>
                <a:rPr lang="es-CO" sz="3000" b="1" i="1">
                  <a:solidFill>
                    <a:schemeClr val="bg1"/>
                  </a:solidFill>
                </a:rPr>
                <a:t> + m (x - </a:t>
              </a:r>
              <a:r>
                <a:rPr lang="es-CO" sz="3000" b="1" i="0">
                  <a:solidFill>
                    <a:schemeClr val="bg1"/>
                  </a:solidFill>
                  <a:latin typeface="Cambria Math" panose="02040503050406030204" pitchFamily="18" charset="0"/>
                </a:rPr>
                <a:t>𝒙_𝟏</a:t>
              </a:r>
              <a:r>
                <a:rPr lang="es-CO" sz="3000" b="1" i="1">
                  <a:solidFill>
                    <a:schemeClr val="bg1"/>
                  </a:solidFill>
                </a:rPr>
                <a:t>) </a:t>
              </a:r>
            </a:p>
          </xdr:txBody>
        </xdr:sp>
      </mc:Fallback>
    </mc:AlternateContent>
    <xdr:clientData/>
  </xdr:oneCellAnchor>
  <xdr:oneCellAnchor>
    <xdr:from>
      <xdr:col>2</xdr:col>
      <xdr:colOff>262756</xdr:colOff>
      <xdr:row>33</xdr:row>
      <xdr:rowOff>122976</xdr:rowOff>
    </xdr:from>
    <xdr:ext cx="2023243" cy="250518"/>
    <mc:AlternateContent xmlns:mc="http://schemas.openxmlformats.org/markup-compatibility/2006" xmlns:a14="http://schemas.microsoft.com/office/drawing/2010/main">
      <mc:Choice Requires="a14">
        <xdr:sp macro="" textlink="">
          <xdr:nvSpPr>
            <xdr:cNvPr id="44" name="CuadroTexto 43">
              <a:extLst>
                <a:ext uri="{FF2B5EF4-FFF2-40B4-BE49-F238E27FC236}">
                  <a16:creationId xmlns:a16="http://schemas.microsoft.com/office/drawing/2014/main" id="{00000000-0008-0000-0400-00002C000000}"/>
                </a:ext>
              </a:extLst>
            </xdr:cNvPr>
            <xdr:cNvSpPr txBox="1"/>
          </xdr:nvSpPr>
          <xdr:spPr>
            <a:xfrm>
              <a:off x="2358256" y="14941155"/>
              <a:ext cx="2023243" cy="250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14:m>
                <m:oMath xmlns:m="http://schemas.openxmlformats.org/officeDocument/2006/math">
                  <m:sSub>
                    <m:sSubPr>
                      <m:ctrlPr>
                        <a:rPr lang="es-CO" sz="800" b="1" i="1">
                          <a:latin typeface="Cambria Math" panose="02040503050406030204" pitchFamily="18" charset="0"/>
                        </a:rPr>
                      </m:ctrlPr>
                    </m:sSubPr>
                    <m:e>
                      <m:r>
                        <m:rPr>
                          <m:nor/>
                        </m:rPr>
                        <a:rPr lang="es-CO" sz="800" b="1">
                          <a:solidFill>
                            <a:schemeClr val="tx1"/>
                          </a:solidFill>
                          <a:effectLst/>
                          <a:latin typeface="+mn-lt"/>
                          <a:ea typeface="+mn-ea"/>
                          <a:cs typeface="+mn-cs"/>
                        </a:rPr>
                        <m:t>V</m:t>
                      </m:r>
                    </m:e>
                    <m:sub>
                      <m:r>
                        <a:rPr lang="es-CO" sz="800" b="1" i="1">
                          <a:latin typeface="Cambria Math" panose="02040503050406030204" pitchFamily="18" charset="0"/>
                        </a:rPr>
                        <m:t>𝑴𝒂𝒙</m:t>
                      </m:r>
                    </m:sub>
                  </m:sSub>
                </m:oMath>
              </a14:m>
              <a:r>
                <a:rPr lang="es-CO" sz="800" b="1"/>
                <a:t>) =</a:t>
              </a:r>
              <a:r>
                <a:rPr lang="es-CO" sz="800" b="1" baseline="0"/>
                <a:t> </a:t>
              </a:r>
              <a14:m>
                <m:oMath xmlns:m="http://schemas.openxmlformats.org/officeDocument/2006/math">
                  <m:rad>
                    <m:radPr>
                      <m:degHide m:val="on"/>
                      <m:ctrlPr>
                        <a:rPr lang="es-CO" sz="800" b="1" i="1" baseline="0">
                          <a:latin typeface="Cambria Math" panose="02040503050406030204" pitchFamily="18" charset="0"/>
                        </a:rPr>
                      </m:ctrlPr>
                    </m:radPr>
                    <m:deg/>
                    <m:e>
                      <m:sSubSup>
                        <m:sSubSupPr>
                          <m:ctrlPr>
                            <a:rPr lang="es-CO" sz="800" b="1" i="1" baseline="0">
                              <a:latin typeface="Cambria Math" panose="02040503050406030204" pitchFamily="18" charset="0"/>
                            </a:rPr>
                          </m:ctrlPr>
                        </m:sSubSupPr>
                        <m:e>
                          <m:r>
                            <a:rPr lang="es-CO" sz="800" b="1" i="1" baseline="0">
                              <a:latin typeface="Cambria Math" panose="02040503050406030204" pitchFamily="18" charset="0"/>
                            </a:rPr>
                            <m:t>𝒖</m:t>
                          </m:r>
                        </m:e>
                        <m:sub>
                          <m:r>
                            <a:rPr lang="es-CO" sz="800" b="1" i="1" baseline="0">
                              <a:latin typeface="Cambria Math" panose="02040503050406030204" pitchFamily="18" charset="0"/>
                            </a:rPr>
                            <m:t>𝒄𝒂𝒍</m:t>
                          </m:r>
                        </m:sub>
                        <m:sup>
                          <m:r>
                            <a:rPr lang="es-CO" sz="800" b="1" i="1" baseline="0">
                              <a:latin typeface="Cambria Math" panose="02040503050406030204" pitchFamily="18" charset="0"/>
                            </a:rPr>
                            <m:t>𝟐</m:t>
                          </m:r>
                        </m:sup>
                      </m:sSubSup>
                    </m:e>
                  </m:rad>
                  <m:r>
                    <a:rPr lang="es-CO" sz="800" b="1" i="1" baseline="0">
                      <a:latin typeface="Cambria Math" panose="02040503050406030204" pitchFamily="18" charset="0"/>
                    </a:rPr>
                    <m:t>(</m:t>
                  </m:r>
                  <m:sSub>
                    <m:sSubPr>
                      <m:ctrlPr>
                        <a:rPr lang="es-CO" sz="800" b="1" i="1" baseline="0">
                          <a:latin typeface="Cambria Math" panose="02040503050406030204" pitchFamily="18" charset="0"/>
                        </a:rPr>
                      </m:ctrlPr>
                    </m:sSubPr>
                    <m:e>
                      <m:r>
                        <a:rPr lang="es-CO" sz="800" b="1" i="1" baseline="0">
                          <a:latin typeface="Cambria Math" panose="02040503050406030204" pitchFamily="18" charset="0"/>
                        </a:rPr>
                        <m:t>𝑽</m:t>
                      </m:r>
                    </m:e>
                    <m:sub>
                      <m:r>
                        <a:rPr lang="es-CO" sz="800" b="1" i="1" baseline="0">
                          <a:latin typeface="Cambria Math" panose="02040503050406030204" pitchFamily="18" charset="0"/>
                        </a:rPr>
                        <m:t>𝒔𝒑</m:t>
                      </m:r>
                    </m:sub>
                  </m:sSub>
                  <m:r>
                    <a:rPr lang="es-CO" sz="800" b="1" i="1" baseline="0">
                      <a:latin typeface="Cambria Math" panose="02040503050406030204" pitchFamily="18" charset="0"/>
                    </a:rPr>
                    <m:t>)</m:t>
                  </m:r>
                </m:oMath>
              </a14:m>
              <a:r>
                <a:rPr lang="es-CO" sz="800" b="1"/>
                <a:t> + </a:t>
              </a:r>
              <a14:m>
                <m:oMath xmlns:m="http://schemas.openxmlformats.org/officeDocument/2006/math">
                  <m:sSup>
                    <m:sSupPr>
                      <m:ctrlPr>
                        <a:rPr lang="es-CO" sz="800" b="1" i="1">
                          <a:latin typeface="Cambria Math" panose="02040503050406030204" pitchFamily="18" charset="0"/>
                        </a:rPr>
                      </m:ctrlPr>
                    </m:sSupPr>
                    <m:e>
                      <m:r>
                        <m:rPr>
                          <m:nor/>
                        </m:rPr>
                        <a:rPr lang="es-CO" sz="800" b="1">
                          <a:solidFill>
                            <a:schemeClr val="tx1"/>
                          </a:solidFill>
                          <a:effectLst/>
                          <a:latin typeface="+mn-lt"/>
                          <a:ea typeface="+mn-ea"/>
                          <a:cs typeface="+mn-cs"/>
                        </a:rPr>
                        <m:t>(</m:t>
                      </m:r>
                      <m:f>
                        <m:fPr>
                          <m:ctrlPr>
                            <a:rPr lang="es-CO" sz="800" b="1" i="1">
                              <a:solidFill>
                                <a:schemeClr val="tx1"/>
                              </a:solidFill>
                              <a:effectLst/>
                              <a:latin typeface="Cambria Math" panose="02040503050406030204" pitchFamily="18" charset="0"/>
                              <a:ea typeface="+mn-ea"/>
                              <a:cs typeface="+mn-cs"/>
                            </a:rPr>
                          </m:ctrlPr>
                        </m:fPr>
                        <m:num>
                          <m:sSub>
                            <m:sSubPr>
                              <m:ctrlPr>
                                <a:rPr lang="es-CO" sz="800" b="1" i="1">
                                  <a:solidFill>
                                    <a:schemeClr val="tx1"/>
                                  </a:solidFill>
                                  <a:effectLst/>
                                  <a:latin typeface="Cambria Math" panose="02040503050406030204" pitchFamily="18" charset="0"/>
                                  <a:ea typeface="+mn-ea"/>
                                  <a:cs typeface="+mn-cs"/>
                                </a:rPr>
                              </m:ctrlPr>
                            </m:sSubPr>
                            <m:e>
                              <m:r>
                                <a:rPr lang="es-CO" sz="800" b="1" i="1">
                                  <a:solidFill>
                                    <a:schemeClr val="tx1"/>
                                  </a:solidFill>
                                  <a:effectLst/>
                                  <a:latin typeface="Cambria Math" panose="02040503050406030204" pitchFamily="18" charset="0"/>
                                  <a:ea typeface="+mn-ea"/>
                                  <a:cs typeface="+mn-cs"/>
                                </a:rPr>
                                <m:t>𝑬</m:t>
                              </m:r>
                            </m:e>
                            <m:sub>
                              <m:r>
                                <a:rPr lang="es-CO" sz="800" b="1" i="1">
                                  <a:solidFill>
                                    <a:schemeClr val="tx1"/>
                                  </a:solidFill>
                                  <a:effectLst/>
                                  <a:latin typeface="Cambria Math" panose="02040503050406030204" pitchFamily="18" charset="0"/>
                                  <a:ea typeface="+mn-ea"/>
                                  <a:cs typeface="+mn-cs"/>
                                </a:rPr>
                                <m:t>𝑴𝒂𝒙</m:t>
                              </m:r>
                            </m:sub>
                          </m:sSub>
                          <m:r>
                            <a:rPr lang="es-CO" sz="800" b="1" i="1">
                              <a:solidFill>
                                <a:schemeClr val="tx1"/>
                              </a:solidFill>
                              <a:effectLst/>
                              <a:latin typeface="Cambria Math" panose="02040503050406030204" pitchFamily="18" charset="0"/>
                              <a:ea typeface="+mn-ea"/>
                              <a:cs typeface="+mn-cs"/>
                            </a:rPr>
                            <m:t> − </m:t>
                          </m:r>
                          <m:sSub>
                            <m:sSubPr>
                              <m:ctrlPr>
                                <a:rPr lang="es-CO" sz="800" b="1" i="1">
                                  <a:solidFill>
                                    <a:schemeClr val="tx1"/>
                                  </a:solidFill>
                                  <a:effectLst/>
                                  <a:latin typeface="Cambria Math" panose="02040503050406030204" pitchFamily="18" charset="0"/>
                                  <a:ea typeface="+mn-ea"/>
                                  <a:cs typeface="+mn-cs"/>
                                </a:rPr>
                              </m:ctrlPr>
                            </m:sSubPr>
                            <m:e>
                              <m:r>
                                <a:rPr lang="es-CO" sz="800" b="1" i="1">
                                  <a:solidFill>
                                    <a:schemeClr val="tx1"/>
                                  </a:solidFill>
                                  <a:effectLst/>
                                  <a:latin typeface="Cambria Math" panose="02040503050406030204" pitchFamily="18" charset="0"/>
                                  <a:ea typeface="+mn-ea"/>
                                  <a:cs typeface="+mn-cs"/>
                                </a:rPr>
                                <m:t>𝑬</m:t>
                              </m:r>
                            </m:e>
                            <m:sub>
                              <m:r>
                                <a:rPr lang="es-CO" sz="800" b="1" i="1">
                                  <a:solidFill>
                                    <a:schemeClr val="tx1"/>
                                  </a:solidFill>
                                  <a:effectLst/>
                                  <a:latin typeface="Cambria Math" panose="02040503050406030204" pitchFamily="18" charset="0"/>
                                  <a:ea typeface="+mn-ea"/>
                                  <a:cs typeface="+mn-cs"/>
                                </a:rPr>
                                <m:t>𝑴𝒊𝒏</m:t>
                              </m:r>
                            </m:sub>
                          </m:sSub>
                        </m:num>
                        <m:den>
                          <m:rad>
                            <m:radPr>
                              <m:degHide m:val="on"/>
                              <m:ctrlPr>
                                <a:rPr lang="es-CO" sz="800" b="1" i="1">
                                  <a:solidFill>
                                    <a:schemeClr val="tx1"/>
                                  </a:solidFill>
                                  <a:effectLst/>
                                  <a:latin typeface="Cambria Math" panose="02040503050406030204" pitchFamily="18" charset="0"/>
                                  <a:ea typeface="+mn-ea"/>
                                  <a:cs typeface="+mn-cs"/>
                                </a:rPr>
                              </m:ctrlPr>
                            </m:radPr>
                            <m:deg/>
                            <m:e>
                              <m:r>
                                <a:rPr lang="es-CO" sz="800" b="1" i="1">
                                  <a:solidFill>
                                    <a:schemeClr val="tx1"/>
                                  </a:solidFill>
                                  <a:effectLst/>
                                  <a:latin typeface="Cambria Math" panose="02040503050406030204" pitchFamily="18" charset="0"/>
                                  <a:ea typeface="+mn-ea"/>
                                  <a:cs typeface="+mn-cs"/>
                                </a:rPr>
                                <m:t>𝟏𝟐</m:t>
                              </m:r>
                            </m:e>
                          </m:rad>
                        </m:den>
                      </m:f>
                      <m:r>
                        <m:rPr>
                          <m:nor/>
                        </m:rPr>
                        <a:rPr lang="es-CO" sz="800" b="1">
                          <a:solidFill>
                            <a:schemeClr val="tx1"/>
                          </a:solidFill>
                          <a:effectLst/>
                          <a:latin typeface="+mn-lt"/>
                          <a:ea typeface="+mn-ea"/>
                          <a:cs typeface="+mn-cs"/>
                        </a:rPr>
                        <m:t>)</m:t>
                      </m:r>
                      <m:r>
                        <m:rPr>
                          <m:nor/>
                        </m:rPr>
                        <a:rPr lang="es-CO" sz="800" b="1">
                          <a:effectLst/>
                        </a:rPr>
                        <m:t> </m:t>
                      </m:r>
                    </m:e>
                    <m:sup>
                      <m:r>
                        <a:rPr lang="es-CO" sz="800" b="1" i="1">
                          <a:latin typeface="Cambria Math" panose="02040503050406030204" pitchFamily="18" charset="0"/>
                        </a:rPr>
                        <m:t>𝟐</m:t>
                      </m:r>
                    </m:sup>
                  </m:sSup>
                </m:oMath>
              </a14:m>
              <a:endParaRPr lang="es-CO" sz="800" b="1"/>
            </a:p>
          </xdr:txBody>
        </xdr:sp>
      </mc:Choice>
      <mc:Fallback xmlns="">
        <xdr:sp macro="" textlink="">
          <xdr:nvSpPr>
            <xdr:cNvPr id="44" name="CuadroTexto 43"/>
            <xdr:cNvSpPr txBox="1"/>
          </xdr:nvSpPr>
          <xdr:spPr>
            <a:xfrm>
              <a:off x="2358256" y="14941155"/>
              <a:ext cx="2023243" cy="250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r>
                <a:rPr lang="es-CO" sz="800" b="1" i="0">
                  <a:solidFill>
                    <a:schemeClr val="tx1"/>
                  </a:solidFill>
                  <a:effectLst/>
                  <a:latin typeface="+mn-lt"/>
                  <a:ea typeface="+mn-ea"/>
                  <a:cs typeface="+mn-cs"/>
                </a:rPr>
                <a:t>"V</a:t>
              </a:r>
              <a:r>
                <a:rPr lang="es-CO" sz="800" b="1" i="0">
                  <a:solidFill>
                    <a:schemeClr val="tx1"/>
                  </a:solidFill>
                  <a:effectLst/>
                  <a:latin typeface="Cambria Math" panose="02040503050406030204" pitchFamily="18" charset="0"/>
                  <a:ea typeface="+mn-ea"/>
                  <a:cs typeface="+mn-cs"/>
                </a:rPr>
                <a:t>" _</a:t>
              </a:r>
              <a:r>
                <a:rPr lang="es-CO" sz="800" b="1" i="0">
                  <a:latin typeface="Cambria Math" panose="02040503050406030204" pitchFamily="18" charset="0"/>
                </a:rPr>
                <a:t>𝑴𝒂𝒙</a:t>
              </a:r>
              <a:r>
                <a:rPr lang="es-CO" sz="800" b="1"/>
                <a:t>) =</a:t>
              </a:r>
              <a:r>
                <a:rPr lang="es-CO" sz="800" b="1" baseline="0"/>
                <a:t> </a:t>
              </a:r>
              <a:r>
                <a:rPr lang="es-CO" sz="800" b="1" i="0" baseline="0">
                  <a:latin typeface="Cambria Math" panose="02040503050406030204" pitchFamily="18" charset="0"/>
                </a:rPr>
                <a:t>√(𝒖_𝒄𝒂𝒍^𝟐 )(𝑽_𝒔𝒑)</a:t>
              </a:r>
              <a:r>
                <a:rPr lang="es-CO" sz="800" b="1"/>
                <a:t> + </a:t>
              </a:r>
              <a:r>
                <a:rPr lang="es-CO" sz="800" b="1" i="0">
                  <a:latin typeface="Cambria Math" panose="02040503050406030204" pitchFamily="18" charset="0"/>
                </a:rPr>
                <a:t>〖</a:t>
              </a:r>
              <a:r>
                <a:rPr lang="es-CO" sz="800" b="1" i="0">
                  <a:solidFill>
                    <a:schemeClr val="tx1"/>
                  </a:solidFill>
                  <a:effectLst/>
                  <a:latin typeface="+mn-lt"/>
                  <a:ea typeface="+mn-ea"/>
                  <a:cs typeface="+mn-cs"/>
                </a:rPr>
                <a:t>"(</a:t>
              </a:r>
              <a:r>
                <a:rPr lang="es-CO" sz="800" b="1" i="0">
                  <a:solidFill>
                    <a:schemeClr val="tx1"/>
                  </a:solidFill>
                  <a:effectLst/>
                  <a:latin typeface="Cambria Math" panose="02040503050406030204" pitchFamily="18" charset="0"/>
                  <a:ea typeface="+mn-ea"/>
                  <a:cs typeface="+mn-cs"/>
                </a:rPr>
                <a:t>"  (𝑬_𝑴𝒂𝒙  − 𝑬_𝑴𝒊𝒏)/√𝟏𝟐</a:t>
              </a:r>
              <a:r>
                <a:rPr lang="es-CO" sz="800" b="1" i="0">
                  <a:solidFill>
                    <a:schemeClr val="tx1"/>
                  </a:solidFill>
                  <a:effectLst/>
                  <a:latin typeface="+mn-lt"/>
                  <a:ea typeface="+mn-ea"/>
                  <a:cs typeface="+mn-cs"/>
                </a:rPr>
                <a:t> ")</a:t>
              </a:r>
              <a:r>
                <a:rPr lang="es-CO" sz="800" b="1" i="0">
                  <a:effectLst/>
                </a:rPr>
                <a:t> </a:t>
              </a:r>
              <a:r>
                <a:rPr lang="es-CO" sz="800" b="1" i="0">
                  <a:effectLst/>
                  <a:latin typeface="Cambria Math" panose="02040503050406030204" pitchFamily="18" charset="0"/>
                </a:rPr>
                <a:t>" 〗^</a:t>
              </a:r>
              <a:r>
                <a:rPr lang="es-CO" sz="800" b="1" i="0">
                  <a:latin typeface="Cambria Math" panose="02040503050406030204" pitchFamily="18" charset="0"/>
                </a:rPr>
                <a:t>𝟐</a:t>
              </a:r>
              <a:endParaRPr lang="es-CO" sz="800" b="1"/>
            </a:p>
          </xdr:txBody>
        </xdr:sp>
      </mc:Fallback>
    </mc:AlternateContent>
    <xdr:clientData/>
  </xdr:oneCellAnchor>
  <xdr:oneCellAnchor>
    <xdr:from>
      <xdr:col>2</xdr:col>
      <xdr:colOff>404197</xdr:colOff>
      <xdr:row>43</xdr:row>
      <xdr:rowOff>231322</xdr:rowOff>
    </xdr:from>
    <xdr:ext cx="575517" cy="172227"/>
    <mc:AlternateContent xmlns:mc="http://schemas.openxmlformats.org/markup-compatibility/2006" xmlns:a14="http://schemas.microsoft.com/office/drawing/2010/main">
      <mc:Choice Requires="a14">
        <xdr:sp macro="" textlink="">
          <xdr:nvSpPr>
            <xdr:cNvPr id="45" name="CuadroTexto 44">
              <a:extLst>
                <a:ext uri="{FF2B5EF4-FFF2-40B4-BE49-F238E27FC236}">
                  <a16:creationId xmlns:a16="http://schemas.microsoft.com/office/drawing/2014/main" id="{00000000-0008-0000-0400-00002D000000}"/>
                </a:ext>
              </a:extLst>
            </xdr:cNvPr>
            <xdr:cNvSpPr txBox="1"/>
          </xdr:nvSpPr>
          <xdr:spPr>
            <a:xfrm>
              <a:off x="2499697" y="19635108"/>
              <a:ext cx="57551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t>u (</a:t>
              </a:r>
              <a14:m>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𝑽</m:t>
                      </m:r>
                    </m:e>
                    <m:sub>
                      <m:r>
                        <a:rPr lang="es-CO" sz="1100" b="1" i="1">
                          <a:latin typeface="Cambria Math" panose="02040503050406030204" pitchFamily="18" charset="0"/>
                        </a:rPr>
                        <m:t>𝒎𝒊𝒏</m:t>
                      </m:r>
                    </m:sub>
                  </m:sSub>
                </m:oMath>
              </a14:m>
              <a:r>
                <a:rPr lang="es-CO" sz="1100" b="1"/>
                <a:t>)</a:t>
              </a:r>
            </a:p>
          </xdr:txBody>
        </xdr:sp>
      </mc:Choice>
      <mc:Fallback xmlns="">
        <xdr:sp macro="" textlink="">
          <xdr:nvSpPr>
            <xdr:cNvPr id="45" name="CuadroTexto 44"/>
            <xdr:cNvSpPr txBox="1"/>
          </xdr:nvSpPr>
          <xdr:spPr>
            <a:xfrm>
              <a:off x="2499697" y="19635108"/>
              <a:ext cx="57551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t>u (</a:t>
              </a:r>
              <a:r>
                <a:rPr lang="es-CO" sz="1100" b="1" i="0">
                  <a:latin typeface="Cambria Math" panose="02040503050406030204" pitchFamily="18" charset="0"/>
                </a:rPr>
                <a:t>𝑽_𝒎𝒊𝒏</a:t>
              </a:r>
              <a:r>
                <a:rPr lang="es-CO" sz="1100" b="1"/>
                <a:t>)</a:t>
              </a:r>
            </a:p>
          </xdr:txBody>
        </xdr:sp>
      </mc:Fallback>
    </mc:AlternateContent>
    <xdr:clientData/>
  </xdr:oneCellAnchor>
  <xdr:oneCellAnchor>
    <xdr:from>
      <xdr:col>20</xdr:col>
      <xdr:colOff>134471</xdr:colOff>
      <xdr:row>17</xdr:row>
      <xdr:rowOff>123265</xdr:rowOff>
    </xdr:from>
    <xdr:ext cx="681319" cy="175113"/>
    <mc:AlternateContent xmlns:mc="http://schemas.openxmlformats.org/markup-compatibility/2006" xmlns:a14="http://schemas.microsoft.com/office/drawing/2010/main">
      <mc:Choice Requires="a14">
        <xdr:sp macro="" textlink="">
          <xdr:nvSpPr>
            <xdr:cNvPr id="47" name="CuadroTexto 46">
              <a:extLst>
                <a:ext uri="{FF2B5EF4-FFF2-40B4-BE49-F238E27FC236}">
                  <a16:creationId xmlns:a16="http://schemas.microsoft.com/office/drawing/2014/main" id="{00000000-0008-0000-0400-00002F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sSub>
                          <m:sSubPr>
                            <m:ctrlPr>
                              <a:rPr lang="es-CO" sz="1100" b="1" i="1">
                                <a:solidFill>
                                  <a:schemeClr val="bg1"/>
                                </a:solidFill>
                                <a:effectLst/>
                                <a:latin typeface="Cambria Math" panose="02040503050406030204" pitchFamily="18" charset="0"/>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𝑴𝒊𝒏</m:t>
                            </m:r>
                          </m:sub>
                        </m:sSub>
                      </m:e>
                    </m:acc>
                  </m:oMath>
                </m:oMathPara>
              </a14:m>
              <a:endParaRPr lang="es-CO" sz="1100" b="1">
                <a:solidFill>
                  <a:schemeClr val="bg1"/>
                </a:solidFill>
              </a:endParaRPr>
            </a:p>
          </xdr:txBody>
        </xdr:sp>
      </mc:Choice>
      <mc:Fallback xmlns="">
        <xdr:sp macro="" textlink="">
          <xdr:nvSpPr>
            <xdr:cNvPr id="47" name="CuadroTexto 46"/>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effectLst/>
                  <a:latin typeface="Cambria Math" panose="02040503050406030204" pitchFamily="18" charset="0"/>
                  <a:ea typeface="+mn-ea"/>
                  <a:cs typeface="+mn-cs"/>
                </a:rPr>
                <a:t>𝑽_𝑴𝒊𝒏 ) ̅</a:t>
              </a:r>
              <a:endParaRPr lang="es-CO" sz="1100" b="1">
                <a:solidFill>
                  <a:schemeClr val="bg1"/>
                </a:solidFill>
              </a:endParaRPr>
            </a:p>
          </xdr:txBody>
        </xdr:sp>
      </mc:Fallback>
    </mc:AlternateContent>
    <xdr:clientData/>
  </xdr:oneCellAnchor>
  <xdr:oneCellAnchor>
    <xdr:from>
      <xdr:col>2</xdr:col>
      <xdr:colOff>316673</xdr:colOff>
      <xdr:row>42</xdr:row>
      <xdr:rowOff>217716</xdr:rowOff>
    </xdr:from>
    <xdr:ext cx="622220" cy="17222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0400-000030000000}"/>
                </a:ext>
              </a:extLst>
            </xdr:cNvPr>
            <xdr:cNvSpPr txBox="1"/>
          </xdr:nvSpPr>
          <xdr:spPr>
            <a:xfrm>
              <a:off x="2412173" y="19118037"/>
              <a:ext cx="6222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i="0">
                  <a:solidFill>
                    <a:sysClr val="windowText" lastClr="000000"/>
                  </a:solidFill>
                  <a:effectLst/>
                  <a:latin typeface="+mn-lt"/>
                  <a:ea typeface="+mn-ea"/>
                  <a:cs typeface="+mn-cs"/>
                </a:rPr>
                <a:t>u</a:t>
              </a:r>
              <a14:m>
                <m:oMath xmlns:m="http://schemas.openxmlformats.org/officeDocument/2006/math">
                  <m:d>
                    <m:dPr>
                      <m:ctrlPr>
                        <a:rPr lang="es-CO" sz="1100" b="1" i="1">
                          <a:solidFill>
                            <a:sysClr val="windowText" lastClr="000000"/>
                          </a:solidFill>
                          <a:effectLst/>
                          <a:latin typeface="Cambria Math" panose="02040503050406030204" pitchFamily="18" charset="0"/>
                          <a:ea typeface="+mn-ea"/>
                          <a:cs typeface="+mn-cs"/>
                        </a:rPr>
                      </m:ctrlPr>
                    </m:dPr>
                    <m:e>
                      <m:sSub>
                        <m:sSubPr>
                          <m:ctrlPr>
                            <a:rPr lang="es-CO" sz="1100" b="1" i="1">
                              <a:solidFill>
                                <a:sysClr val="windowText" lastClr="000000"/>
                              </a:solidFill>
                              <a:effectLst/>
                              <a:latin typeface="Cambria Math" panose="02040503050406030204" pitchFamily="18" charset="0"/>
                              <a:ea typeface="+mn-ea"/>
                              <a:cs typeface="+mn-cs"/>
                            </a:rPr>
                          </m:ctrlPr>
                        </m:sSubPr>
                        <m:e>
                          <m:r>
                            <a:rPr lang="es-CO" sz="1100" b="1" i="1">
                              <a:solidFill>
                                <a:sysClr val="windowText" lastClr="000000"/>
                              </a:solidFill>
                              <a:effectLst/>
                              <a:latin typeface="Cambria Math" panose="02040503050406030204" pitchFamily="18" charset="0"/>
                              <a:ea typeface="+mn-ea"/>
                              <a:cs typeface="+mn-cs"/>
                            </a:rPr>
                            <m:t>𝑽</m:t>
                          </m:r>
                        </m:e>
                        <m:sub>
                          <m:r>
                            <a:rPr lang="es-CO" sz="1100" b="1" i="1">
                              <a:solidFill>
                                <a:sysClr val="windowText" lastClr="000000"/>
                              </a:solidFill>
                              <a:effectLst/>
                              <a:latin typeface="Cambria Math" panose="02040503050406030204" pitchFamily="18" charset="0"/>
                              <a:ea typeface="+mn-ea"/>
                              <a:cs typeface="+mn-cs"/>
                            </a:rPr>
                            <m:t>𝒎𝒂𝒙</m:t>
                          </m:r>
                        </m:sub>
                      </m:sSub>
                    </m:e>
                  </m:d>
                </m:oMath>
              </a14:m>
              <a:endParaRPr lang="es-CO" sz="1100" b="1">
                <a:solidFill>
                  <a:sysClr val="windowText" lastClr="000000"/>
                </a:solidFill>
              </a:endParaRPr>
            </a:p>
          </xdr:txBody>
        </xdr:sp>
      </mc:Choice>
      <mc:Fallback xmlns="">
        <xdr:sp macro="" textlink="">
          <xdr:nvSpPr>
            <xdr:cNvPr id="48" name="CuadroTexto 47"/>
            <xdr:cNvSpPr txBox="1"/>
          </xdr:nvSpPr>
          <xdr:spPr>
            <a:xfrm>
              <a:off x="2412173" y="19118037"/>
              <a:ext cx="6222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i="0">
                  <a:solidFill>
                    <a:sysClr val="windowText" lastClr="000000"/>
                  </a:solidFill>
                  <a:effectLst/>
                  <a:latin typeface="+mn-lt"/>
                  <a:ea typeface="+mn-ea"/>
                  <a:cs typeface="+mn-cs"/>
                </a:rPr>
                <a:t>u</a:t>
              </a:r>
              <a:r>
                <a:rPr lang="es-CO" sz="1100" b="1" i="0">
                  <a:solidFill>
                    <a:sysClr val="windowText" lastClr="000000"/>
                  </a:solidFill>
                  <a:effectLst/>
                  <a:latin typeface="Cambria Math" panose="02040503050406030204" pitchFamily="18" charset="0"/>
                  <a:ea typeface="+mn-ea"/>
                  <a:cs typeface="+mn-cs"/>
                </a:rPr>
                <a:t>(𝑽_𝒎𝒂𝒙 )</a:t>
              </a:r>
              <a:endParaRPr lang="es-CO" sz="1100" b="1">
                <a:solidFill>
                  <a:sysClr val="windowText" lastClr="000000"/>
                </a:solidFill>
              </a:endParaRPr>
            </a:p>
          </xdr:txBody>
        </xdr:sp>
      </mc:Fallback>
    </mc:AlternateContent>
    <xdr:clientData/>
  </xdr:oneCellAnchor>
  <xdr:oneCellAnchor>
    <xdr:from>
      <xdr:col>17</xdr:col>
      <xdr:colOff>342141</xdr:colOff>
      <xdr:row>9</xdr:row>
      <xdr:rowOff>163285</xdr:rowOff>
    </xdr:from>
    <xdr:ext cx="392645" cy="172227"/>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400-000031000000}"/>
                </a:ext>
              </a:extLst>
            </xdr:cNvPr>
            <xdr:cNvSpPr txBox="1"/>
          </xdr:nvSpPr>
          <xdr:spPr>
            <a:xfrm>
              <a:off x="18153891" y="4694464"/>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panose="02040503050406030204" pitchFamily="18" charset="0"/>
                            <a:ea typeface="+mn-ea"/>
                            <a:cs typeface="+mn-cs"/>
                          </a:rPr>
                          <m:t>𝑽</m:t>
                        </m:r>
                      </m:e>
                      <m:sub>
                        <m:r>
                          <a:rPr lang="es-CO" sz="1100" b="1" i="1">
                            <a:solidFill>
                              <a:schemeClr val="tx1"/>
                            </a:solidFill>
                            <a:effectLst/>
                            <a:latin typeface="Cambria Math" panose="02040503050406030204" pitchFamily="18" charset="0"/>
                            <a:ea typeface="+mn-ea"/>
                            <a:cs typeface="+mn-cs"/>
                          </a:rPr>
                          <m:t>𝑴𝒂𝒙</m:t>
                        </m:r>
                      </m:sub>
                    </m:sSub>
                  </m:oMath>
                </m:oMathPara>
              </a14:m>
              <a:endParaRPr lang="es-CO" sz="1100"/>
            </a:p>
          </xdr:txBody>
        </xdr:sp>
      </mc:Choice>
      <mc:Fallback xmlns="">
        <xdr:sp macro="" textlink="">
          <xdr:nvSpPr>
            <xdr:cNvPr id="49" name="CuadroTexto 48"/>
            <xdr:cNvSpPr txBox="1"/>
          </xdr:nvSpPr>
          <xdr:spPr>
            <a:xfrm>
              <a:off x="18153891" y="4694464"/>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tx1"/>
                  </a:solidFill>
                  <a:effectLst/>
                  <a:latin typeface="Cambria Math" panose="02040503050406030204" pitchFamily="18" charset="0"/>
                  <a:ea typeface="+mn-ea"/>
                  <a:cs typeface="+mn-cs"/>
                </a:rPr>
                <a:t>𝑽_𝑴𝒂𝒙</a:t>
              </a:r>
              <a:endParaRPr lang="es-CO" sz="1100"/>
            </a:p>
          </xdr:txBody>
        </xdr:sp>
      </mc:Fallback>
    </mc:AlternateContent>
    <xdr:clientData/>
  </xdr:oneCellAnchor>
  <xdr:oneCellAnchor>
    <xdr:from>
      <xdr:col>18</xdr:col>
      <xdr:colOff>199398</xdr:colOff>
      <xdr:row>9</xdr:row>
      <xdr:rowOff>174955</xdr:rowOff>
    </xdr:from>
    <xdr:ext cx="681319" cy="172227"/>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400-000032000000}"/>
                </a:ext>
              </a:extLst>
            </xdr:cNvPr>
            <xdr:cNvSpPr txBox="1"/>
          </xdr:nvSpPr>
          <xdr:spPr>
            <a:xfrm>
              <a:off x="19058898" y="4706134"/>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ysClr val="windowText" lastClr="000000"/>
                            </a:solidFill>
                            <a:effectLst/>
                            <a:latin typeface="Cambria Math" panose="02040503050406030204" pitchFamily="18" charset="0"/>
                            <a:ea typeface="+mn-ea"/>
                            <a:cs typeface="+mn-cs"/>
                          </a:rPr>
                        </m:ctrlPr>
                      </m:sSubPr>
                      <m:e>
                        <m:r>
                          <a:rPr lang="es-CO" sz="1100" b="1" i="1">
                            <a:solidFill>
                              <a:sysClr val="windowText" lastClr="000000"/>
                            </a:solidFill>
                            <a:effectLst/>
                            <a:latin typeface="Cambria Math" panose="02040503050406030204" pitchFamily="18" charset="0"/>
                            <a:ea typeface="+mn-ea"/>
                            <a:cs typeface="+mn-cs"/>
                          </a:rPr>
                          <m:t>𝑽</m:t>
                        </m:r>
                      </m:e>
                      <m:sub>
                        <m:r>
                          <a:rPr lang="es-CO" sz="1100" b="1" i="1">
                            <a:solidFill>
                              <a:sysClr val="windowText" lastClr="000000"/>
                            </a:solidFill>
                            <a:effectLst/>
                            <a:latin typeface="Cambria Math" panose="02040503050406030204" pitchFamily="18" charset="0"/>
                            <a:ea typeface="+mn-ea"/>
                            <a:cs typeface="+mn-cs"/>
                          </a:rPr>
                          <m:t>𝑴𝒊𝒏</m:t>
                        </m:r>
                      </m:sub>
                    </m:sSub>
                  </m:oMath>
                </m:oMathPara>
              </a14:m>
              <a:endParaRPr lang="es-CO" sz="1100">
                <a:solidFill>
                  <a:sysClr val="windowText" lastClr="000000"/>
                </a:solidFill>
              </a:endParaRPr>
            </a:p>
          </xdr:txBody>
        </xdr:sp>
      </mc:Choice>
      <mc:Fallback xmlns="">
        <xdr:sp macro="" textlink="">
          <xdr:nvSpPr>
            <xdr:cNvPr id="50" name="CuadroTexto 49"/>
            <xdr:cNvSpPr txBox="1"/>
          </xdr:nvSpPr>
          <xdr:spPr>
            <a:xfrm>
              <a:off x="19058898" y="4706134"/>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ysClr val="windowText" lastClr="000000"/>
                  </a:solidFill>
                  <a:effectLst/>
                  <a:latin typeface="Cambria Math" panose="02040503050406030204" pitchFamily="18" charset="0"/>
                  <a:ea typeface="+mn-ea"/>
                  <a:cs typeface="+mn-cs"/>
                </a:rPr>
                <a:t>𝑽_𝑴𝒊𝒏</a:t>
              </a:r>
              <a:endParaRPr lang="es-CO" sz="1100">
                <a:solidFill>
                  <a:sysClr val="windowText" lastClr="000000"/>
                </a:solidFill>
              </a:endParaRPr>
            </a:p>
          </xdr:txBody>
        </xdr:sp>
      </mc:Fallback>
    </mc:AlternateContent>
    <xdr:clientData/>
  </xdr:oneCellAnchor>
  <xdr:oneCellAnchor>
    <xdr:from>
      <xdr:col>16</xdr:col>
      <xdr:colOff>398346</xdr:colOff>
      <xdr:row>18</xdr:row>
      <xdr:rowOff>232833</xdr:rowOff>
    </xdr:from>
    <xdr:ext cx="2501487" cy="443583"/>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0400-000033000000}"/>
                </a:ext>
              </a:extLst>
            </xdr:cNvPr>
            <xdr:cNvSpPr txBox="1"/>
          </xdr:nvSpPr>
          <xdr:spPr>
            <a:xfrm>
              <a:off x="17162346" y="7355416"/>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O" sz="1400" b="1" i="1">
                            <a:solidFill>
                              <a:schemeClr val="tx1"/>
                            </a:solidFill>
                            <a:effectLst/>
                            <a:latin typeface="Cambria Math" panose="02040503050406030204" pitchFamily="18" charset="0"/>
                            <a:ea typeface="+mn-ea"/>
                            <a:cs typeface="+mn-cs"/>
                          </a:rPr>
                        </m:ctrlPr>
                      </m:fPr>
                      <m:num>
                        <m:sSub>
                          <m:sSubPr>
                            <m:ctrlPr>
                              <a:rPr lang="es-CO" sz="1400" b="1" i="1">
                                <a:solidFill>
                                  <a:schemeClr val="tx1"/>
                                </a:solidFill>
                                <a:effectLst/>
                                <a:latin typeface="Cambria Math" panose="02040503050406030204" pitchFamily="18" charset="0"/>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𝑴𝒂𝒙</m:t>
                            </m:r>
                          </m:sub>
                        </m:sSub>
                        <m:r>
                          <a:rPr lang="es-CO" sz="1400" b="1" i="1">
                            <a:solidFill>
                              <a:schemeClr val="tx1"/>
                            </a:solidFill>
                            <a:effectLst/>
                            <a:latin typeface="Cambria Math" panose="02040503050406030204" pitchFamily="18" charset="0"/>
                            <a:ea typeface="+mn-ea"/>
                            <a:cs typeface="+mn-cs"/>
                          </a:rPr>
                          <m:t> − </m:t>
                        </m:r>
                        <m:sSub>
                          <m:sSubPr>
                            <m:ctrlPr>
                              <a:rPr lang="es-CO" sz="1400" b="1" i="1">
                                <a:solidFill>
                                  <a:schemeClr val="tx1"/>
                                </a:solidFill>
                                <a:effectLst/>
                                <a:latin typeface="Cambria Math" panose="02040503050406030204" pitchFamily="18" charset="0"/>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𝑴𝒊𝒏</m:t>
                            </m:r>
                          </m:sub>
                        </m:sSub>
                      </m:num>
                      <m:den>
                        <m:rad>
                          <m:radPr>
                            <m:degHide m:val="on"/>
                            <m:ctrlPr>
                              <a:rPr lang="es-CO" sz="1400" b="1" i="1">
                                <a:solidFill>
                                  <a:schemeClr val="tx1"/>
                                </a:solidFill>
                                <a:effectLst/>
                                <a:latin typeface="Cambria Math" panose="02040503050406030204" pitchFamily="18" charset="0"/>
                                <a:ea typeface="+mn-ea"/>
                                <a:cs typeface="+mn-cs"/>
                              </a:rPr>
                            </m:ctrlPr>
                          </m:radPr>
                          <m:deg/>
                          <m:e>
                            <m:r>
                              <a:rPr lang="es-CO" sz="1400" b="1" i="1">
                                <a:solidFill>
                                  <a:schemeClr val="tx1"/>
                                </a:solidFill>
                                <a:effectLst/>
                                <a:latin typeface="Cambria Math" panose="02040503050406030204" pitchFamily="18" charset="0"/>
                                <a:ea typeface="+mn-ea"/>
                                <a:cs typeface="+mn-cs"/>
                              </a:rPr>
                              <m:t>𝟏𝟐</m:t>
                            </m:r>
                          </m:e>
                        </m:rad>
                      </m:den>
                    </m:f>
                  </m:oMath>
                </m:oMathPara>
              </a14:m>
              <a:endParaRPr lang="es-CO" sz="1400" b="1">
                <a:solidFill>
                  <a:schemeClr val="tx1"/>
                </a:solidFill>
                <a:latin typeface="Arial" panose="020B0604020202020204" pitchFamily="34" charset="0"/>
                <a:cs typeface="Arial" panose="020B0604020202020204" pitchFamily="34" charset="0"/>
              </a:endParaRPr>
            </a:p>
          </xdr:txBody>
        </xdr:sp>
      </mc:Choice>
      <mc:Fallback xmlns="">
        <xdr:sp macro="" textlink="">
          <xdr:nvSpPr>
            <xdr:cNvPr id="51" name="CuadroTexto 50"/>
            <xdr:cNvSpPr txBox="1"/>
          </xdr:nvSpPr>
          <xdr:spPr>
            <a:xfrm>
              <a:off x="17162346" y="7355416"/>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solidFill>
                    <a:schemeClr val="tx1"/>
                  </a:solidFill>
                  <a:effectLst/>
                  <a:latin typeface="Cambria Math" panose="02040503050406030204" pitchFamily="18" charset="0"/>
                  <a:ea typeface="+mn-ea"/>
                  <a:cs typeface="+mn-cs"/>
                </a:rPr>
                <a:t>(𝑬_𝑴𝒂𝒙  − 𝑬_𝑴𝒊𝒏)/√𝟏𝟐</a:t>
              </a:r>
              <a:endParaRPr lang="es-CO" sz="1400" b="1">
                <a:solidFill>
                  <a:schemeClr val="tx1"/>
                </a:solidFill>
                <a:latin typeface="Arial" panose="020B0604020202020204" pitchFamily="34" charset="0"/>
                <a:cs typeface="Arial" panose="020B0604020202020204" pitchFamily="34" charset="0"/>
              </a:endParaRPr>
            </a:p>
          </xdr:txBody>
        </xdr:sp>
      </mc:Fallback>
    </mc:AlternateContent>
    <xdr:clientData/>
  </xdr:oneCellAnchor>
  <xdr:oneCellAnchor>
    <xdr:from>
      <xdr:col>2</xdr:col>
      <xdr:colOff>516714</xdr:colOff>
      <xdr:row>46</xdr:row>
      <xdr:rowOff>300465</xdr:rowOff>
    </xdr:from>
    <xdr:ext cx="413639" cy="172227"/>
    <mc:AlternateContent xmlns:mc="http://schemas.openxmlformats.org/markup-compatibility/2006" xmlns:a14="http://schemas.microsoft.com/office/drawing/2010/main">
      <mc:Choice Requires="a14">
        <xdr:sp macro="" textlink="">
          <xdr:nvSpPr>
            <xdr:cNvPr id="54" name="CuadroTexto 53">
              <a:extLst>
                <a:ext uri="{FF2B5EF4-FFF2-40B4-BE49-F238E27FC236}">
                  <a16:creationId xmlns:a16="http://schemas.microsoft.com/office/drawing/2014/main" id="{00000000-0008-0000-0400-000036000000}"/>
                </a:ext>
              </a:extLst>
            </xdr:cNvPr>
            <xdr:cNvSpPr txBox="1"/>
          </xdr:nvSpPr>
          <xdr:spPr>
            <a:xfrm>
              <a:off x="2612214" y="21214644"/>
              <a:ext cx="41363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𝒎𝒊𝒏</m:t>
                        </m:r>
                      </m:sub>
                    </m:sSub>
                  </m:oMath>
                </m:oMathPara>
              </a14:m>
              <a:endParaRPr lang="es-CO" sz="1100" b="1"/>
            </a:p>
          </xdr:txBody>
        </xdr:sp>
      </mc:Choice>
      <mc:Fallback xmlns="">
        <xdr:sp macro="" textlink="">
          <xdr:nvSpPr>
            <xdr:cNvPr id="54" name="CuadroTexto 53"/>
            <xdr:cNvSpPr txBox="1"/>
          </xdr:nvSpPr>
          <xdr:spPr>
            <a:xfrm>
              <a:off x="2612214" y="21214644"/>
              <a:ext cx="41363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𝒎𝒊𝒏</a:t>
              </a:r>
              <a:endParaRPr lang="es-CO" sz="1100" b="1"/>
            </a:p>
          </xdr:txBody>
        </xdr:sp>
      </mc:Fallback>
    </mc:AlternateContent>
    <xdr:clientData/>
  </xdr:oneCellAnchor>
  <xdr:oneCellAnchor>
    <xdr:from>
      <xdr:col>12</xdr:col>
      <xdr:colOff>323850</xdr:colOff>
      <xdr:row>49</xdr:row>
      <xdr:rowOff>109537</xdr:rowOff>
    </xdr:from>
    <xdr:ext cx="345864" cy="172227"/>
    <mc:AlternateContent xmlns:mc="http://schemas.openxmlformats.org/markup-compatibility/2006" xmlns:a14="http://schemas.microsoft.com/office/drawing/2010/main">
      <mc:Choice Requires="a14">
        <xdr:sp macro="" textlink="">
          <xdr:nvSpPr>
            <xdr:cNvPr id="57" name="CuadroTexto 56">
              <a:extLst>
                <a:ext uri="{FF2B5EF4-FFF2-40B4-BE49-F238E27FC236}">
                  <a16:creationId xmlns:a16="http://schemas.microsoft.com/office/drawing/2014/main" id="{00000000-0008-0000-0400-000039000000}"/>
                </a:ext>
              </a:extLst>
            </xdr:cNvPr>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r>
                      <a:rPr lang="es-CO" sz="1100" b="1" i="1">
                        <a:latin typeface="Cambria Math" panose="02040503050406030204" pitchFamily="18" charset="0"/>
                      </a:rPr>
                      <m:t>𝑫</m:t>
                    </m:r>
                    <m:r>
                      <a:rPr lang="es-CO" sz="1100" b="1" i="1">
                        <a:latin typeface="Cambria Math" panose="02040503050406030204" pitchFamily="18" charset="0"/>
                      </a:rPr>
                      <m:t>)</m:t>
                    </m:r>
                  </m:oMath>
                </m:oMathPara>
              </a14:m>
              <a:endParaRPr lang="es-CO" sz="1100" b="1"/>
            </a:p>
          </xdr:txBody>
        </xdr:sp>
      </mc:Choice>
      <mc:Fallback xmlns="">
        <xdr:sp macro="" textlink="">
          <xdr:nvSpPr>
            <xdr:cNvPr id="57" name="CuadroTexto 56"/>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𝒖(𝑫)</a:t>
              </a:r>
              <a:endParaRPr lang="es-CO" sz="1100" b="1"/>
            </a:p>
          </xdr:txBody>
        </xdr:sp>
      </mc:Fallback>
    </mc:AlternateContent>
    <xdr:clientData/>
  </xdr:oneCellAnchor>
  <xdr:twoCellAnchor>
    <xdr:from>
      <xdr:col>12</xdr:col>
      <xdr:colOff>9525</xdr:colOff>
      <xdr:row>10</xdr:row>
      <xdr:rowOff>0</xdr:rowOff>
    </xdr:from>
    <xdr:to>
      <xdr:col>14</xdr:col>
      <xdr:colOff>1009650</xdr:colOff>
      <xdr:row>12</xdr:row>
      <xdr:rowOff>485775</xdr:rowOff>
    </xdr:to>
    <xdr:cxnSp macro="">
      <xdr:nvCxnSpPr>
        <xdr:cNvPr id="61" name="Conector recto de flecha 60">
          <a:extLst>
            <a:ext uri="{FF2B5EF4-FFF2-40B4-BE49-F238E27FC236}">
              <a16:creationId xmlns:a16="http://schemas.microsoft.com/office/drawing/2014/main" id="{00000000-0008-0000-0400-00003D000000}"/>
            </a:ext>
          </a:extLst>
        </xdr:cNvPr>
        <xdr:cNvCxnSpPr/>
      </xdr:nvCxnSpPr>
      <xdr:spPr>
        <a:xfrm flipV="1">
          <a:off x="12582525" y="5124450"/>
          <a:ext cx="3095625" cy="1514475"/>
        </a:xfrm>
        <a:prstGeom prst="straightConnector1">
          <a:avLst/>
        </a:prstGeom>
        <a:ln w="28575">
          <a:solidFill>
            <a:srgbClr val="FF0000"/>
          </a:solidFill>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2</xdr:col>
      <xdr:colOff>408644</xdr:colOff>
      <xdr:row>61</xdr:row>
      <xdr:rowOff>0</xdr:rowOff>
    </xdr:from>
    <xdr:ext cx="65" cy="172227"/>
    <xdr:sp macro="" textlink="">
      <xdr:nvSpPr>
        <xdr:cNvPr id="39" name="CuadroTexto 38">
          <a:extLst>
            <a:ext uri="{FF2B5EF4-FFF2-40B4-BE49-F238E27FC236}">
              <a16:creationId xmlns:a16="http://schemas.microsoft.com/office/drawing/2014/main" id="{00000000-0008-0000-0400-000027000000}"/>
            </a:ext>
          </a:extLst>
        </xdr:cNvPr>
        <xdr:cNvSpPr txBox="1"/>
      </xdr:nvSpPr>
      <xdr:spPr>
        <a:xfrm>
          <a:off x="2504144" y="2765913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b="1"/>
        </a:p>
      </xdr:txBody>
    </xdr:sp>
    <xdr:clientData/>
  </xdr:oneCellAnchor>
  <xdr:twoCellAnchor editAs="oneCell">
    <xdr:from>
      <xdr:col>7</xdr:col>
      <xdr:colOff>0</xdr:colOff>
      <xdr:row>13</xdr:row>
      <xdr:rowOff>0</xdr:rowOff>
    </xdr:from>
    <xdr:to>
      <xdr:col>8</xdr:col>
      <xdr:colOff>1000126</xdr:colOff>
      <xdr:row>14</xdr:row>
      <xdr:rowOff>401806</xdr:rowOff>
    </xdr:to>
    <xdr:pic>
      <xdr:nvPicPr>
        <xdr:cNvPr id="35" name="34 Imagen">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1"/>
        <a:stretch>
          <a:fillRect/>
        </a:stretch>
      </xdr:blipFill>
      <xdr:spPr>
        <a:xfrm>
          <a:off x="7405688" y="5893594"/>
          <a:ext cx="2131219" cy="901868"/>
        </a:xfrm>
        <a:prstGeom prst="rect">
          <a:avLst/>
        </a:prstGeom>
      </xdr:spPr>
    </xdr:pic>
    <xdr:clientData/>
  </xdr:twoCellAnchor>
  <xdr:twoCellAnchor editAs="oneCell">
    <xdr:from>
      <xdr:col>0</xdr:col>
      <xdr:colOff>535781</xdr:colOff>
      <xdr:row>0</xdr:row>
      <xdr:rowOff>47625</xdr:rowOff>
    </xdr:from>
    <xdr:to>
      <xdr:col>2</xdr:col>
      <xdr:colOff>425095</xdr:colOff>
      <xdr:row>0</xdr:row>
      <xdr:rowOff>889323</xdr:rowOff>
    </xdr:to>
    <xdr:pic>
      <xdr:nvPicPr>
        <xdr:cNvPr id="12" name="11 Imagen">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2"/>
        <a:stretch>
          <a:fillRect/>
        </a:stretch>
      </xdr:blipFill>
      <xdr:spPr>
        <a:xfrm>
          <a:off x="535781" y="47625"/>
          <a:ext cx="1984814" cy="84169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380999</xdr:colOff>
      <xdr:row>0</xdr:row>
      <xdr:rowOff>59532</xdr:rowOff>
    </xdr:from>
    <xdr:to>
      <xdr:col>2</xdr:col>
      <xdr:colOff>559593</xdr:colOff>
      <xdr:row>0</xdr:row>
      <xdr:rowOff>961400</xdr:rowOff>
    </xdr:to>
    <xdr:pic>
      <xdr:nvPicPr>
        <xdr:cNvPr id="4" name="3 Imagen">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380999" y="59532"/>
          <a:ext cx="2131219" cy="90186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726281</xdr:colOff>
      <xdr:row>0</xdr:row>
      <xdr:rowOff>71437</xdr:rowOff>
    </xdr:from>
    <xdr:to>
      <xdr:col>2</xdr:col>
      <xdr:colOff>738187</xdr:colOff>
      <xdr:row>0</xdr:row>
      <xdr:rowOff>973305</xdr:rowOff>
    </xdr:to>
    <xdr:pic>
      <xdr:nvPicPr>
        <xdr:cNvPr id="4" name="3 Imagen">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726281" y="71437"/>
          <a:ext cx="2131219" cy="90186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437418</xdr:colOff>
      <xdr:row>39</xdr:row>
      <xdr:rowOff>64834</xdr:rowOff>
    </xdr:from>
    <xdr:to>
      <xdr:col>8</xdr:col>
      <xdr:colOff>457676</xdr:colOff>
      <xdr:row>41</xdr:row>
      <xdr:rowOff>4395</xdr:rowOff>
    </xdr:to>
    <xdr:pic>
      <xdr:nvPicPr>
        <xdr:cNvPr id="2" name="Imagen 1">
          <a:extLst>
            <a:ext uri="{FF2B5EF4-FFF2-40B4-BE49-F238E27FC236}">
              <a16:creationId xmlns:a16="http://schemas.microsoft.com/office/drawing/2014/main" id="{00000000-0008-0000-0700-000002000000}"/>
            </a:ext>
          </a:extLst>
        </xdr:cNvPr>
        <xdr:cNvPicPr/>
      </xdr:nvPicPr>
      <xdr:blipFill rotWithShape="1">
        <a:blip xmlns:r="http://schemas.openxmlformats.org/officeDocument/2006/relationships" r:embed="rId1"/>
        <a:srcRect l="6907" t="24203" r="3198" b="66560"/>
        <a:stretch/>
      </xdr:blipFill>
      <xdr:spPr bwMode="auto">
        <a:xfrm>
          <a:off x="1723293" y="14876209"/>
          <a:ext cx="5106608" cy="396761"/>
        </a:xfrm>
        <a:prstGeom prst="rect">
          <a:avLst/>
        </a:prstGeom>
        <a:ln w="88900" cap="sq" cmpd="thickThin">
          <a:solidFill>
            <a:srgbClr val="000000"/>
          </a:solidFill>
          <a:prstDash val="solid"/>
          <a:miter lim="800000"/>
        </a:ln>
        <a:effectLst>
          <a:innerShdw blurRad="76200">
            <a:srgbClr val="000000"/>
          </a:innerShdw>
        </a:effectLst>
        <a:extLst>
          <a:ext uri="{53640926-AAD7-44D8-BBD7-CCE9431645EC}">
            <a14:shadowObscured xmlns:a14="http://schemas.microsoft.com/office/drawing/2010/main"/>
          </a:ext>
        </a:extLst>
      </xdr:spPr>
    </xdr:pic>
    <xdr:clientData/>
  </xdr:twoCellAnchor>
  <xdr:twoCellAnchor>
    <xdr:from>
      <xdr:col>1</xdr:col>
      <xdr:colOff>55109</xdr:colOff>
      <xdr:row>46</xdr:row>
      <xdr:rowOff>104098</xdr:rowOff>
    </xdr:from>
    <xdr:to>
      <xdr:col>1</xdr:col>
      <xdr:colOff>274184</xdr:colOff>
      <xdr:row>47</xdr:row>
      <xdr:rowOff>154785</xdr:rowOff>
    </xdr:to>
    <xdr:pic>
      <xdr:nvPicPr>
        <xdr:cNvPr id="3" name="Imagen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2183" t="26282" r="84860" b="67474"/>
        <a:stretch>
          <a:fillRect/>
        </a:stretch>
      </xdr:blipFill>
      <xdr:spPr bwMode="auto">
        <a:xfrm>
          <a:off x="436109" y="16649023"/>
          <a:ext cx="219075" cy="2507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9525</xdr:colOff>
      <xdr:row>48</xdr:row>
      <xdr:rowOff>176892</xdr:rowOff>
    </xdr:from>
    <xdr:ext cx="325755" cy="218795"/>
    <xdr:pic>
      <xdr:nvPicPr>
        <xdr:cNvPr id="4" name="Imagen 3">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9180" t="27724" r="76804" b="66879"/>
        <a:stretch>
          <a:fillRect/>
        </a:stretch>
      </xdr:blipFill>
      <xdr:spPr bwMode="auto">
        <a:xfrm>
          <a:off x="390525" y="17102817"/>
          <a:ext cx="325755" cy="218795"/>
        </a:xfrm>
        <a:prstGeom prst="rect">
          <a:avLst/>
        </a:prstGeom>
        <a:noFill/>
        <a:ln>
          <a:noFill/>
        </a:ln>
      </xdr:spPr>
    </xdr:pic>
    <xdr:clientData/>
  </xdr:oneCellAnchor>
  <xdr:oneCellAnchor>
    <xdr:from>
      <xdr:col>0</xdr:col>
      <xdr:colOff>421821</xdr:colOff>
      <xdr:row>50</xdr:row>
      <xdr:rowOff>134364</xdr:rowOff>
    </xdr:from>
    <xdr:ext cx="325755" cy="238124"/>
    <xdr:pic>
      <xdr:nvPicPr>
        <xdr:cNvPr id="5" name="Imagen 4">
          <a:extLst>
            <a:ext uri="{FF2B5EF4-FFF2-40B4-BE49-F238E27FC236}">
              <a16:creationId xmlns:a16="http://schemas.microsoft.com/office/drawing/2014/main" id="{00000000-0008-0000-07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l="24089" t="26923" r="72009" b="67484"/>
        <a:stretch>
          <a:fillRect/>
        </a:stretch>
      </xdr:blipFill>
      <xdr:spPr bwMode="auto">
        <a:xfrm>
          <a:off x="383721" y="17555589"/>
          <a:ext cx="325755" cy="238124"/>
        </a:xfrm>
        <a:prstGeom prst="rect">
          <a:avLst/>
        </a:prstGeom>
        <a:noFill/>
        <a:ln>
          <a:noFill/>
        </a:ln>
      </xdr:spPr>
    </xdr:pic>
    <xdr:clientData/>
  </xdr:oneCellAnchor>
  <xdr:oneCellAnchor>
    <xdr:from>
      <xdr:col>1</xdr:col>
      <xdr:colOff>19049</xdr:colOff>
      <xdr:row>52</xdr:row>
      <xdr:rowOff>183696</xdr:rowOff>
    </xdr:from>
    <xdr:ext cx="314325" cy="262468"/>
    <xdr:pic>
      <xdr:nvPicPr>
        <xdr:cNvPr id="6" name="Imagen 5">
          <a:extLst>
            <a:ext uri="{FF2B5EF4-FFF2-40B4-BE49-F238E27FC236}">
              <a16:creationId xmlns:a16="http://schemas.microsoft.com/office/drawing/2014/main" id="{00000000-0008-0000-0700-000006000000}"/>
            </a:ext>
          </a:extLst>
        </xdr:cNvPr>
        <xdr:cNvPicPr/>
      </xdr:nvPicPr>
      <xdr:blipFill rotWithShape="1">
        <a:blip xmlns:r="http://schemas.openxmlformats.org/officeDocument/2006/relationships" r:embed="rId1"/>
        <a:srcRect l="30917" t="27092" r="66112" b="66954"/>
        <a:stretch/>
      </xdr:blipFill>
      <xdr:spPr bwMode="auto">
        <a:xfrm>
          <a:off x="400049" y="18062121"/>
          <a:ext cx="314325" cy="262468"/>
        </a:xfrm>
        <a:prstGeom prst="rect">
          <a:avLst/>
        </a:prstGeom>
        <a:ln>
          <a:noFill/>
        </a:ln>
        <a:extLst>
          <a:ext uri="{53640926-AAD7-44D8-BBD7-CCE9431645EC}">
            <a14:shadowObscured xmlns:a14="http://schemas.microsoft.com/office/drawing/2010/main"/>
          </a:ext>
        </a:extLst>
      </xdr:spPr>
    </xdr:pic>
    <xdr:clientData/>
  </xdr:oneCellAnchor>
  <xdr:twoCellAnchor>
    <xdr:from>
      <xdr:col>1</xdr:col>
      <xdr:colOff>0</xdr:colOff>
      <xdr:row>55</xdr:row>
      <xdr:rowOff>0</xdr:rowOff>
    </xdr:from>
    <xdr:to>
      <xdr:col>1</xdr:col>
      <xdr:colOff>304800</xdr:colOff>
      <xdr:row>56</xdr:row>
      <xdr:rowOff>9525</xdr:rowOff>
    </xdr:to>
    <xdr:pic>
      <xdr:nvPicPr>
        <xdr:cNvPr id="7" name="Imagen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7697" t="26598" r="60135" b="68105"/>
        <a:stretch>
          <a:fillRect/>
        </a:stretch>
      </xdr:blipFill>
      <xdr:spPr bwMode="auto">
        <a:xfrm>
          <a:off x="381000" y="18535650"/>
          <a:ext cx="304800"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400051</xdr:colOff>
      <xdr:row>56</xdr:row>
      <xdr:rowOff>123825</xdr:rowOff>
    </xdr:from>
    <xdr:ext cx="409574" cy="322791"/>
    <xdr:pic>
      <xdr:nvPicPr>
        <xdr:cNvPr id="8" name="Imagen 7">
          <a:extLst>
            <a:ext uri="{FF2B5EF4-FFF2-40B4-BE49-F238E27FC236}">
              <a16:creationId xmlns:a16="http://schemas.microsoft.com/office/drawing/2014/main" id="{00000000-0008-0000-0700-000008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40720" t="26944" r="54791" b="66789"/>
        <a:stretch>
          <a:fillRect/>
        </a:stretch>
      </xdr:blipFill>
      <xdr:spPr bwMode="auto">
        <a:xfrm>
          <a:off x="381001" y="18973800"/>
          <a:ext cx="409574" cy="322791"/>
        </a:xfrm>
        <a:prstGeom prst="rect">
          <a:avLst/>
        </a:prstGeom>
        <a:noFill/>
        <a:ln>
          <a:noFill/>
        </a:ln>
      </xdr:spPr>
    </xdr:pic>
    <xdr:clientData/>
  </xdr:oneCellAnchor>
  <xdr:oneCellAnchor>
    <xdr:from>
      <xdr:col>1</xdr:col>
      <xdr:colOff>28576</xdr:colOff>
      <xdr:row>59</xdr:row>
      <xdr:rowOff>9525</xdr:rowOff>
    </xdr:from>
    <xdr:ext cx="353060" cy="195792"/>
    <xdr:pic>
      <xdr:nvPicPr>
        <xdr:cNvPr id="9" name="Imagen 8">
          <a:extLst>
            <a:ext uri="{FF2B5EF4-FFF2-40B4-BE49-F238E27FC236}">
              <a16:creationId xmlns:a16="http://schemas.microsoft.com/office/drawing/2014/main" id="{00000000-0008-0000-0700-000009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54910" t="28040" r="39955" b="67065"/>
        <a:stretch>
          <a:fillRect/>
        </a:stretch>
      </xdr:blipFill>
      <xdr:spPr bwMode="auto">
        <a:xfrm>
          <a:off x="409576" y="19497675"/>
          <a:ext cx="353060" cy="195792"/>
        </a:xfrm>
        <a:prstGeom prst="rect">
          <a:avLst/>
        </a:prstGeom>
        <a:noFill/>
        <a:ln>
          <a:noFill/>
        </a:ln>
      </xdr:spPr>
    </xdr:pic>
    <xdr:clientData/>
  </xdr:oneCellAnchor>
  <xdr:oneCellAnchor>
    <xdr:from>
      <xdr:col>1</xdr:col>
      <xdr:colOff>66676</xdr:colOff>
      <xdr:row>60</xdr:row>
      <xdr:rowOff>200025</xdr:rowOff>
    </xdr:from>
    <xdr:ext cx="171450" cy="190499"/>
    <xdr:pic>
      <xdr:nvPicPr>
        <xdr:cNvPr id="10" name="Imagen 9">
          <a:extLst>
            <a:ext uri="{FF2B5EF4-FFF2-40B4-BE49-F238E27FC236}">
              <a16:creationId xmlns:a16="http://schemas.microsoft.com/office/drawing/2014/main" id="{00000000-0008-0000-07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40720" t="26944" r="58366" b="68909"/>
        <a:stretch>
          <a:fillRect/>
        </a:stretch>
      </xdr:blipFill>
      <xdr:spPr bwMode="auto">
        <a:xfrm>
          <a:off x="447676" y="19964400"/>
          <a:ext cx="171450" cy="190499"/>
        </a:xfrm>
        <a:prstGeom prst="rect">
          <a:avLst/>
        </a:prstGeom>
        <a:noFill/>
        <a:ln>
          <a:noFill/>
        </a:ln>
      </xdr:spPr>
    </xdr:pic>
    <xdr:clientData/>
  </xdr:oneCellAnchor>
  <xdr:oneCellAnchor>
    <xdr:from>
      <xdr:col>1</xdr:col>
      <xdr:colOff>1362</xdr:colOff>
      <xdr:row>44</xdr:row>
      <xdr:rowOff>40826</xdr:rowOff>
    </xdr:from>
    <xdr:ext cx="304800" cy="244474"/>
    <xdr:pic>
      <xdr:nvPicPr>
        <xdr:cNvPr id="11" name="Imagen 10">
          <a:extLst>
            <a:ext uri="{FF2B5EF4-FFF2-40B4-BE49-F238E27FC236}">
              <a16:creationId xmlns:a16="http://schemas.microsoft.com/office/drawing/2014/main" id="{00000000-0008-0000-0700-00000B000000}"/>
            </a:ext>
          </a:extLst>
        </xdr:cNvPr>
        <xdr:cNvPicPr/>
      </xdr:nvPicPr>
      <xdr:blipFill rotWithShape="1">
        <a:blip xmlns:r="http://schemas.openxmlformats.org/officeDocument/2006/relationships" r:embed="rId1"/>
        <a:srcRect l="6276" t="26472" r="90088" b="67694"/>
        <a:stretch/>
      </xdr:blipFill>
      <xdr:spPr bwMode="auto">
        <a:xfrm>
          <a:off x="382362" y="16109501"/>
          <a:ext cx="304800" cy="24447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0</xdr:col>
      <xdr:colOff>371475</xdr:colOff>
      <xdr:row>67</xdr:row>
      <xdr:rowOff>19050</xdr:rowOff>
    </xdr:from>
    <xdr:ext cx="349884" cy="350168"/>
    <xdr:pic>
      <xdr:nvPicPr>
        <xdr:cNvPr id="12" name="Imagen 11">
          <a:extLst>
            <a:ext uri="{FF2B5EF4-FFF2-40B4-BE49-F238E27FC236}">
              <a16:creationId xmlns:a16="http://schemas.microsoft.com/office/drawing/2014/main" id="{00000000-0008-0000-0700-00000C000000}"/>
            </a:ext>
          </a:extLst>
        </xdr:cNvPr>
        <xdr:cNvPicPr/>
      </xdr:nvPicPr>
      <xdr:blipFill rotWithShape="1">
        <a:blip xmlns:r="http://schemas.openxmlformats.org/officeDocument/2006/relationships" r:embed="rId1"/>
        <a:srcRect l="90522" t="25661" r="3198" b="67370"/>
        <a:stretch/>
      </xdr:blipFill>
      <xdr:spPr bwMode="auto">
        <a:xfrm>
          <a:off x="371475" y="21412200"/>
          <a:ext cx="349884" cy="35016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9525</xdr:colOff>
      <xdr:row>62</xdr:row>
      <xdr:rowOff>142874</xdr:rowOff>
    </xdr:from>
    <xdr:ext cx="390525" cy="322793"/>
    <xdr:pic>
      <xdr:nvPicPr>
        <xdr:cNvPr id="13" name="Imagen 12">
          <a:extLst>
            <a:ext uri="{FF2B5EF4-FFF2-40B4-BE49-F238E27FC236}">
              <a16:creationId xmlns:a16="http://schemas.microsoft.com/office/drawing/2014/main" id="{00000000-0008-0000-0700-00000D000000}"/>
            </a:ext>
          </a:extLst>
        </xdr:cNvPr>
        <xdr:cNvPicPr/>
      </xdr:nvPicPr>
      <xdr:blipFill rotWithShape="1">
        <a:blip xmlns:r="http://schemas.openxmlformats.org/officeDocument/2006/relationships" r:embed="rId1"/>
        <a:srcRect l="73767" t="26471" r="19752" b="66560"/>
        <a:stretch/>
      </xdr:blipFill>
      <xdr:spPr bwMode="auto">
        <a:xfrm>
          <a:off x="390525" y="20421599"/>
          <a:ext cx="390525" cy="32279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4081</xdr:colOff>
      <xdr:row>64</xdr:row>
      <xdr:rowOff>145596</xdr:rowOff>
    </xdr:from>
    <xdr:ext cx="329294" cy="283029"/>
    <xdr:pic>
      <xdr:nvPicPr>
        <xdr:cNvPr id="14" name="Imagen 13">
          <a:extLst>
            <a:ext uri="{FF2B5EF4-FFF2-40B4-BE49-F238E27FC236}">
              <a16:creationId xmlns:a16="http://schemas.microsoft.com/office/drawing/2014/main" id="{00000000-0008-0000-0700-00000E000000}"/>
            </a:ext>
          </a:extLst>
        </xdr:cNvPr>
        <xdr:cNvPicPr/>
      </xdr:nvPicPr>
      <xdr:blipFill rotWithShape="1">
        <a:blip xmlns:r="http://schemas.openxmlformats.org/officeDocument/2006/relationships" r:embed="rId1"/>
        <a:srcRect l="82144" t="25661" r="11217" b="67371"/>
        <a:stretch/>
      </xdr:blipFill>
      <xdr:spPr bwMode="auto">
        <a:xfrm>
          <a:off x="385081" y="20900571"/>
          <a:ext cx="329294" cy="28302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3</xdr:col>
      <xdr:colOff>847176</xdr:colOff>
      <xdr:row>115</xdr:row>
      <xdr:rowOff>102230</xdr:rowOff>
    </xdr:from>
    <xdr:ext cx="3361512" cy="27604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700-00000F000000}"/>
                </a:ext>
              </a:extLst>
            </xdr:cNvPr>
            <xdr:cNvSpPr txBox="1"/>
          </xdr:nvSpPr>
          <xdr:spPr>
            <a:xfrm>
              <a:off x="2980776" y="37125905"/>
              <a:ext cx="3361512" cy="276047"/>
            </a:xfrm>
            <a:prstGeom prst="rect">
              <a:avLst/>
            </a:prstGeom>
            <a:solidFill>
              <a:sysClr val="window" lastClr="FFFFFF"/>
            </a:solidFill>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14:m>
                <m:oMathPara xmlns:m="http://schemas.openxmlformats.org/officeDocument/2006/math">
                  <m:oMathParaPr>
                    <m:jc m:val="center"/>
                  </m:oMathParaPr>
                  <m:oMath xmlns:m="http://schemas.openxmlformats.org/officeDocument/2006/math">
                    <m:r>
                      <a:rPr lang="es-CO" sz="1200" b="0" i="1">
                        <a:solidFill>
                          <a:schemeClr val="bg1"/>
                        </a:solidFill>
                        <a:latin typeface="Cambria Math" panose="02040503050406030204" pitchFamily="18" charset="0"/>
                        <a:ea typeface="Cambria Math" panose="02040503050406030204" pitchFamily="18" charset="0"/>
                      </a:rPr>
                      <m:t>𝑅𝑒𝑔𝑙𝑎</m:t>
                    </m:r>
                    <m:r>
                      <a:rPr lang="es-CO" sz="1200" b="0" i="1">
                        <a:solidFill>
                          <a:schemeClr val="bg1"/>
                        </a:solidFill>
                        <a:latin typeface="Cambria Math" panose="02040503050406030204" pitchFamily="18" charset="0"/>
                        <a:ea typeface="Cambria Math" panose="02040503050406030204" pitchFamily="18" charset="0"/>
                      </a:rPr>
                      <m:t> </m:t>
                    </m:r>
                    <m:r>
                      <a:rPr lang="es-CO" sz="1200" b="0" i="1">
                        <a:solidFill>
                          <a:schemeClr val="bg1"/>
                        </a:solidFill>
                        <a:latin typeface="Cambria Math" panose="02040503050406030204" pitchFamily="18" charset="0"/>
                        <a:ea typeface="Cambria Math" panose="02040503050406030204" pitchFamily="18" charset="0"/>
                      </a:rPr>
                      <m:t>𝑑𝑒</m:t>
                    </m:r>
                    <m:r>
                      <a:rPr lang="es-CO" sz="1200" b="0" i="1">
                        <a:solidFill>
                          <a:schemeClr val="bg1"/>
                        </a:solidFill>
                        <a:latin typeface="Cambria Math" panose="02040503050406030204" pitchFamily="18" charset="0"/>
                        <a:ea typeface="Cambria Math" panose="02040503050406030204" pitchFamily="18" charset="0"/>
                      </a:rPr>
                      <m:t> </m:t>
                    </m:r>
                    <m:r>
                      <a:rPr lang="es-CO" sz="1200" b="0" i="1">
                        <a:solidFill>
                          <a:schemeClr val="bg1"/>
                        </a:solidFill>
                        <a:latin typeface="Cambria Math" panose="02040503050406030204" pitchFamily="18" charset="0"/>
                        <a:ea typeface="Cambria Math" panose="02040503050406030204" pitchFamily="18" charset="0"/>
                      </a:rPr>
                      <m:t>𝑑𝑒𝑐𝑖𝑠𝑖</m:t>
                    </m:r>
                    <m:r>
                      <a:rPr lang="es-CO" sz="1200" b="0" i="1">
                        <a:solidFill>
                          <a:schemeClr val="bg1"/>
                        </a:solidFill>
                        <a:latin typeface="Cambria Math" panose="02040503050406030204" pitchFamily="18" charset="0"/>
                        <a:ea typeface="Cambria Math" panose="02040503050406030204" pitchFamily="18" charset="0"/>
                      </a:rPr>
                      <m:t>ó</m:t>
                    </m:r>
                    <m:r>
                      <a:rPr lang="es-CO" sz="1200" b="0" i="1">
                        <a:solidFill>
                          <a:schemeClr val="bg1"/>
                        </a:solidFill>
                        <a:latin typeface="Cambria Math" panose="02040503050406030204" pitchFamily="18" charset="0"/>
                        <a:ea typeface="Cambria Math" panose="02040503050406030204" pitchFamily="18" charset="0"/>
                      </a:rPr>
                      <m:t>𝑛</m:t>
                    </m:r>
                    <m:r>
                      <a:rPr lang="es-CO" sz="1200" b="0" i="1">
                        <a:solidFill>
                          <a:schemeClr val="bg1"/>
                        </a:solidFill>
                        <a:latin typeface="Cambria Math" panose="02040503050406030204" pitchFamily="18" charset="0"/>
                        <a:ea typeface="Cambria Math" panose="02040503050406030204" pitchFamily="18" charset="0"/>
                      </a:rPr>
                      <m:t>=|</m:t>
                    </m:r>
                    <m:r>
                      <m:rPr>
                        <m:sty m:val="p"/>
                      </m:rPr>
                      <a:rPr lang="es-CO" sz="1200" b="0" i="0">
                        <a:solidFill>
                          <a:schemeClr val="bg1"/>
                        </a:solidFill>
                        <a:latin typeface="Cambria Math" panose="02040503050406030204" pitchFamily="18" charset="0"/>
                        <a:ea typeface="Cambria Math" panose="02040503050406030204" pitchFamily="18" charset="0"/>
                      </a:rPr>
                      <m:t>E</m:t>
                    </m:r>
                    <m:r>
                      <a:rPr lang="es-CO" sz="1200" b="0" i="1">
                        <a:solidFill>
                          <a:schemeClr val="bg1"/>
                        </a:solidFill>
                        <a:latin typeface="Cambria Math" panose="02040503050406030204" pitchFamily="18" charset="0"/>
                        <a:ea typeface="Cambria Math" panose="02040503050406030204" pitchFamily="18" charset="0"/>
                      </a:rPr>
                      <m:t>|+</m:t>
                    </m:r>
                    <m:r>
                      <a:rPr lang="es-CO" sz="1200" b="0" i="1">
                        <a:solidFill>
                          <a:schemeClr val="bg1"/>
                        </a:solidFill>
                        <a:latin typeface="Cambria Math" panose="02040503050406030204" pitchFamily="18" charset="0"/>
                        <a:ea typeface="Cambria Math" panose="02040503050406030204" pitchFamily="18" charset="0"/>
                      </a:rPr>
                      <m:t>𝑈</m:t>
                    </m:r>
                    <m:r>
                      <a:rPr lang="es-CO" sz="1200" b="0" i="1">
                        <a:solidFill>
                          <a:schemeClr val="bg1"/>
                        </a:solidFill>
                        <a:latin typeface="Cambria Math" panose="02040503050406030204" pitchFamily="18" charset="0"/>
                        <a:ea typeface="Cambria Math" panose="02040503050406030204" pitchFamily="18" charset="0"/>
                      </a:rPr>
                      <m:t>≤</m:t>
                    </m:r>
                    <m:r>
                      <a:rPr lang="es-CO" sz="1200" b="0" i="1">
                        <a:solidFill>
                          <a:schemeClr val="bg1"/>
                        </a:solidFill>
                        <a:latin typeface="Cambria Math" panose="02040503050406030204" pitchFamily="18" charset="0"/>
                        <a:ea typeface="Cambria Math" panose="02040503050406030204" pitchFamily="18" charset="0"/>
                      </a:rPr>
                      <m:t>𝐸𝑀𝑃</m:t>
                    </m:r>
                    <m:r>
                      <a:rPr lang="es-CO" sz="1200" b="0" i="1">
                        <a:solidFill>
                          <a:schemeClr val="bg1"/>
                        </a:solidFill>
                        <a:latin typeface="Cambria Math" panose="02040503050406030204" pitchFamily="18" charset="0"/>
                        <a:ea typeface="Cambria Math" panose="02040503050406030204" pitchFamily="18" charset="0"/>
                      </a:rPr>
                      <m:t>=</m:t>
                    </m:r>
                    <m:r>
                      <a:rPr lang="es-CO" sz="1200" b="0" i="1">
                        <a:solidFill>
                          <a:schemeClr val="bg1"/>
                        </a:solidFill>
                        <a:latin typeface="Cambria Math" panose="02040503050406030204" pitchFamily="18" charset="0"/>
                        <a:ea typeface="Cambria Math" panose="02040503050406030204" pitchFamily="18" charset="0"/>
                      </a:rPr>
                      <m:t>𝐶𝑈𝑀𝑃𝐿𝐸</m:t>
                    </m:r>
                  </m:oMath>
                </m:oMathPara>
              </a14:m>
              <a:endParaRPr lang="es-CO" sz="1200">
                <a:solidFill>
                  <a:schemeClr val="bg1"/>
                </a:solidFill>
                <a:latin typeface="Arial" panose="020B0604020202020204" pitchFamily="34" charset="0"/>
                <a:cs typeface="Arial" panose="020B0604020202020204" pitchFamily="34" charset="0"/>
              </a:endParaRPr>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0700-00000F000000}"/>
                </a:ext>
              </a:extLst>
            </xdr:cNvPr>
            <xdr:cNvSpPr txBox="1"/>
          </xdr:nvSpPr>
          <xdr:spPr>
            <a:xfrm>
              <a:off x="2980776" y="37125905"/>
              <a:ext cx="3361512" cy="276047"/>
            </a:xfrm>
            <a:prstGeom prst="rect">
              <a:avLst/>
            </a:prstGeom>
            <a:solidFill>
              <a:sysClr val="window" lastClr="FFFFFF"/>
            </a:solidFill>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r>
                <a:rPr lang="es-CO" sz="1200" b="0" i="0">
                  <a:solidFill>
                    <a:schemeClr val="bg1"/>
                  </a:solidFill>
                  <a:latin typeface="Cambria Math" panose="02040503050406030204" pitchFamily="18" charset="0"/>
                  <a:ea typeface="Cambria Math" panose="02040503050406030204" pitchFamily="18" charset="0"/>
                </a:rPr>
                <a:t>𝑅𝑒𝑔𝑙𝑎 𝑑𝑒 𝑑𝑒𝑐𝑖𝑠𝑖ó𝑛=|E|+𝑈≤𝐸𝑀𝑃=𝐶𝑈𝑀𝑃𝐿𝐸</a:t>
              </a:r>
              <a:endParaRPr lang="es-CO" sz="1200">
                <a:solidFill>
                  <a:schemeClr val="bg1"/>
                </a:solidFill>
                <a:latin typeface="Arial" panose="020B0604020202020204" pitchFamily="34" charset="0"/>
                <a:cs typeface="Arial" panose="020B0604020202020204" pitchFamily="34" charset="0"/>
              </a:endParaRPr>
            </a:p>
          </xdr:txBody>
        </xdr:sp>
      </mc:Fallback>
    </mc:AlternateContent>
    <xdr:clientData/>
  </xdr:oneCellAnchor>
</xdr:wsDr>
</file>

<file path=xl/drawings/drawing9.xml><?xml version="1.0" encoding="utf-8"?>
<xdr:wsDr xmlns:xdr="http://schemas.openxmlformats.org/drawingml/2006/spreadsheetDrawing" xmlns:a="http://schemas.openxmlformats.org/drawingml/2006/main">
  <xdr:twoCellAnchor editAs="oneCell">
    <xdr:from>
      <xdr:col>2</xdr:col>
      <xdr:colOff>437418</xdr:colOff>
      <xdr:row>39</xdr:row>
      <xdr:rowOff>64834</xdr:rowOff>
    </xdr:from>
    <xdr:to>
      <xdr:col>8</xdr:col>
      <xdr:colOff>457676</xdr:colOff>
      <xdr:row>41</xdr:row>
      <xdr:rowOff>4395</xdr:rowOff>
    </xdr:to>
    <xdr:pic>
      <xdr:nvPicPr>
        <xdr:cNvPr id="2" name="Imagen 1">
          <a:extLst>
            <a:ext uri="{FF2B5EF4-FFF2-40B4-BE49-F238E27FC236}">
              <a16:creationId xmlns:a16="http://schemas.microsoft.com/office/drawing/2014/main" id="{00000000-0008-0000-0800-000002000000}"/>
            </a:ext>
          </a:extLst>
        </xdr:cNvPr>
        <xdr:cNvPicPr/>
      </xdr:nvPicPr>
      <xdr:blipFill rotWithShape="1">
        <a:blip xmlns:r="http://schemas.openxmlformats.org/officeDocument/2006/relationships" r:embed="rId1"/>
        <a:srcRect l="6907" t="24203" r="3198" b="66560"/>
        <a:stretch/>
      </xdr:blipFill>
      <xdr:spPr bwMode="auto">
        <a:xfrm>
          <a:off x="1580418" y="14342809"/>
          <a:ext cx="5115868" cy="396761"/>
        </a:xfrm>
        <a:prstGeom prst="rect">
          <a:avLst/>
        </a:prstGeom>
        <a:ln w="88900" cap="sq" cmpd="thickThin">
          <a:solidFill>
            <a:srgbClr val="000000"/>
          </a:solidFill>
          <a:prstDash val="solid"/>
          <a:miter lim="800000"/>
        </a:ln>
        <a:effectLst>
          <a:innerShdw blurRad="76200">
            <a:srgbClr val="000000"/>
          </a:innerShdw>
        </a:effectLst>
        <a:extLst>
          <a:ext uri="{53640926-AAD7-44D8-BBD7-CCE9431645EC}">
            <a14:shadowObscured xmlns:a14="http://schemas.microsoft.com/office/drawing/2010/main"/>
          </a:ext>
        </a:extLst>
      </xdr:spPr>
    </xdr:pic>
    <xdr:clientData/>
  </xdr:twoCellAnchor>
  <xdr:twoCellAnchor>
    <xdr:from>
      <xdr:col>1</xdr:col>
      <xdr:colOff>55109</xdr:colOff>
      <xdr:row>46</xdr:row>
      <xdr:rowOff>104098</xdr:rowOff>
    </xdr:from>
    <xdr:to>
      <xdr:col>1</xdr:col>
      <xdr:colOff>274184</xdr:colOff>
      <xdr:row>47</xdr:row>
      <xdr:rowOff>154785</xdr:rowOff>
    </xdr:to>
    <xdr:pic>
      <xdr:nvPicPr>
        <xdr:cNvPr id="3" name="Imagen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2183" t="26282" r="84860" b="67474"/>
        <a:stretch>
          <a:fillRect/>
        </a:stretch>
      </xdr:blipFill>
      <xdr:spPr bwMode="auto">
        <a:xfrm>
          <a:off x="476930" y="9493027"/>
          <a:ext cx="219075" cy="2820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9525</xdr:colOff>
      <xdr:row>48</xdr:row>
      <xdr:rowOff>176892</xdr:rowOff>
    </xdr:from>
    <xdr:ext cx="325755" cy="218795"/>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9180" t="27724" r="76804" b="66879"/>
        <a:stretch>
          <a:fillRect/>
        </a:stretch>
      </xdr:blipFill>
      <xdr:spPr bwMode="auto">
        <a:xfrm>
          <a:off x="431346" y="10028463"/>
          <a:ext cx="325755" cy="218795"/>
        </a:xfrm>
        <a:prstGeom prst="rect">
          <a:avLst/>
        </a:prstGeom>
        <a:noFill/>
        <a:ln>
          <a:noFill/>
        </a:ln>
      </xdr:spPr>
    </xdr:pic>
    <xdr:clientData/>
  </xdr:oneCellAnchor>
  <xdr:oneCellAnchor>
    <xdr:from>
      <xdr:col>0</xdr:col>
      <xdr:colOff>421821</xdr:colOff>
      <xdr:row>50</xdr:row>
      <xdr:rowOff>134364</xdr:rowOff>
    </xdr:from>
    <xdr:ext cx="325755" cy="238124"/>
    <xdr:pic>
      <xdr:nvPicPr>
        <xdr:cNvPr id="5" name="Imagen 4">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l="24089" t="26923" r="72009" b="67484"/>
        <a:stretch>
          <a:fillRect/>
        </a:stretch>
      </xdr:blipFill>
      <xdr:spPr bwMode="auto">
        <a:xfrm>
          <a:off x="421821" y="10414560"/>
          <a:ext cx="325755" cy="238124"/>
        </a:xfrm>
        <a:prstGeom prst="rect">
          <a:avLst/>
        </a:prstGeom>
        <a:noFill/>
        <a:ln>
          <a:noFill/>
        </a:ln>
      </xdr:spPr>
    </xdr:pic>
    <xdr:clientData/>
  </xdr:oneCellAnchor>
  <xdr:oneCellAnchor>
    <xdr:from>
      <xdr:col>1</xdr:col>
      <xdr:colOff>19049</xdr:colOff>
      <xdr:row>52</xdr:row>
      <xdr:rowOff>183696</xdr:rowOff>
    </xdr:from>
    <xdr:ext cx="314325" cy="262468"/>
    <xdr:pic>
      <xdr:nvPicPr>
        <xdr:cNvPr id="6" name="Imagen 5">
          <a:extLst>
            <a:ext uri="{FF2B5EF4-FFF2-40B4-BE49-F238E27FC236}">
              <a16:creationId xmlns:a16="http://schemas.microsoft.com/office/drawing/2014/main" id="{00000000-0008-0000-0800-000006000000}"/>
            </a:ext>
          </a:extLst>
        </xdr:cNvPr>
        <xdr:cNvPicPr/>
      </xdr:nvPicPr>
      <xdr:blipFill rotWithShape="1">
        <a:blip xmlns:r="http://schemas.openxmlformats.org/officeDocument/2006/relationships" r:embed="rId1"/>
        <a:srcRect l="30917" t="27092" r="66112" b="66954"/>
        <a:stretch/>
      </xdr:blipFill>
      <xdr:spPr bwMode="auto">
        <a:xfrm>
          <a:off x="440870" y="10892517"/>
          <a:ext cx="314325" cy="262468"/>
        </a:xfrm>
        <a:prstGeom prst="rect">
          <a:avLst/>
        </a:prstGeom>
        <a:ln>
          <a:noFill/>
        </a:ln>
        <a:extLst>
          <a:ext uri="{53640926-AAD7-44D8-BBD7-CCE9431645EC}">
            <a14:shadowObscured xmlns:a14="http://schemas.microsoft.com/office/drawing/2010/main"/>
          </a:ext>
        </a:extLst>
      </xdr:spPr>
    </xdr:pic>
    <xdr:clientData/>
  </xdr:oneCellAnchor>
  <xdr:twoCellAnchor>
    <xdr:from>
      <xdr:col>1</xdr:col>
      <xdr:colOff>0</xdr:colOff>
      <xdr:row>55</xdr:row>
      <xdr:rowOff>0</xdr:rowOff>
    </xdr:from>
    <xdr:to>
      <xdr:col>1</xdr:col>
      <xdr:colOff>304800</xdr:colOff>
      <xdr:row>56</xdr:row>
      <xdr:rowOff>9525</xdr:rowOff>
    </xdr:to>
    <xdr:pic>
      <xdr:nvPicPr>
        <xdr:cNvPr id="7" name="Imagen 6">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7697" t="26598" r="60135" b="68105"/>
        <a:stretch>
          <a:fillRect/>
        </a:stretch>
      </xdr:blipFill>
      <xdr:spPr bwMode="auto">
        <a:xfrm>
          <a:off x="419100" y="14325600"/>
          <a:ext cx="304800"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400051</xdr:colOff>
      <xdr:row>56</xdr:row>
      <xdr:rowOff>123825</xdr:rowOff>
    </xdr:from>
    <xdr:ext cx="409574" cy="322791"/>
    <xdr:pic>
      <xdr:nvPicPr>
        <xdr:cNvPr id="8" name="Imagen 7">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40720" t="26944" r="54791" b="66789"/>
        <a:stretch>
          <a:fillRect/>
        </a:stretch>
      </xdr:blipFill>
      <xdr:spPr bwMode="auto">
        <a:xfrm>
          <a:off x="400051" y="14658975"/>
          <a:ext cx="409574" cy="322791"/>
        </a:xfrm>
        <a:prstGeom prst="rect">
          <a:avLst/>
        </a:prstGeom>
        <a:noFill/>
        <a:ln>
          <a:noFill/>
        </a:ln>
      </xdr:spPr>
    </xdr:pic>
    <xdr:clientData/>
  </xdr:oneCellAnchor>
  <xdr:oneCellAnchor>
    <xdr:from>
      <xdr:col>1</xdr:col>
      <xdr:colOff>28576</xdr:colOff>
      <xdr:row>59</xdr:row>
      <xdr:rowOff>9525</xdr:rowOff>
    </xdr:from>
    <xdr:ext cx="353060" cy="195792"/>
    <xdr:pic>
      <xdr:nvPicPr>
        <xdr:cNvPr id="9" name="Imagen 8">
          <a:extLst>
            <a:ext uri="{FF2B5EF4-FFF2-40B4-BE49-F238E27FC236}">
              <a16:creationId xmlns:a16="http://schemas.microsoft.com/office/drawing/2014/main" id="{00000000-0008-0000-0800-000009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54910" t="28040" r="39955" b="67065"/>
        <a:stretch>
          <a:fillRect/>
        </a:stretch>
      </xdr:blipFill>
      <xdr:spPr bwMode="auto">
        <a:xfrm>
          <a:off x="447676" y="15173325"/>
          <a:ext cx="353060" cy="195792"/>
        </a:xfrm>
        <a:prstGeom prst="rect">
          <a:avLst/>
        </a:prstGeom>
        <a:noFill/>
        <a:ln>
          <a:noFill/>
        </a:ln>
      </xdr:spPr>
    </xdr:pic>
    <xdr:clientData/>
  </xdr:oneCellAnchor>
  <xdr:oneCellAnchor>
    <xdr:from>
      <xdr:col>1</xdr:col>
      <xdr:colOff>66676</xdr:colOff>
      <xdr:row>60</xdr:row>
      <xdr:rowOff>200025</xdr:rowOff>
    </xdr:from>
    <xdr:ext cx="171450" cy="190499"/>
    <xdr:pic>
      <xdr:nvPicPr>
        <xdr:cNvPr id="10" name="Imagen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40720" t="26944" r="58366" b="68909"/>
        <a:stretch>
          <a:fillRect/>
        </a:stretch>
      </xdr:blipFill>
      <xdr:spPr bwMode="auto">
        <a:xfrm>
          <a:off x="485776" y="15573375"/>
          <a:ext cx="171450" cy="190499"/>
        </a:xfrm>
        <a:prstGeom prst="rect">
          <a:avLst/>
        </a:prstGeom>
        <a:noFill/>
        <a:ln>
          <a:noFill/>
        </a:ln>
      </xdr:spPr>
    </xdr:pic>
    <xdr:clientData/>
  </xdr:oneCellAnchor>
  <xdr:oneCellAnchor>
    <xdr:from>
      <xdr:col>1</xdr:col>
      <xdr:colOff>1362</xdr:colOff>
      <xdr:row>44</xdr:row>
      <xdr:rowOff>40826</xdr:rowOff>
    </xdr:from>
    <xdr:ext cx="304800" cy="244474"/>
    <xdr:pic>
      <xdr:nvPicPr>
        <xdr:cNvPr id="11" name="Imagen 10">
          <a:extLst>
            <a:ext uri="{FF2B5EF4-FFF2-40B4-BE49-F238E27FC236}">
              <a16:creationId xmlns:a16="http://schemas.microsoft.com/office/drawing/2014/main" id="{00000000-0008-0000-0800-00000B000000}"/>
            </a:ext>
          </a:extLst>
        </xdr:cNvPr>
        <xdr:cNvPicPr/>
      </xdr:nvPicPr>
      <xdr:blipFill rotWithShape="1">
        <a:blip xmlns:r="http://schemas.openxmlformats.org/officeDocument/2006/relationships" r:embed="rId1"/>
        <a:srcRect l="6276" t="26472" r="90088" b="67694"/>
        <a:stretch/>
      </xdr:blipFill>
      <xdr:spPr bwMode="auto">
        <a:xfrm>
          <a:off x="423183" y="9001130"/>
          <a:ext cx="304800" cy="24447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0</xdr:col>
      <xdr:colOff>371475</xdr:colOff>
      <xdr:row>67</xdr:row>
      <xdr:rowOff>19050</xdr:rowOff>
    </xdr:from>
    <xdr:ext cx="349884" cy="350168"/>
    <xdr:pic>
      <xdr:nvPicPr>
        <xdr:cNvPr id="12" name="Imagen 11">
          <a:extLst>
            <a:ext uri="{FF2B5EF4-FFF2-40B4-BE49-F238E27FC236}">
              <a16:creationId xmlns:a16="http://schemas.microsoft.com/office/drawing/2014/main" id="{00000000-0008-0000-0800-00000C000000}"/>
            </a:ext>
          </a:extLst>
        </xdr:cNvPr>
        <xdr:cNvPicPr/>
      </xdr:nvPicPr>
      <xdr:blipFill rotWithShape="1">
        <a:blip xmlns:r="http://schemas.openxmlformats.org/officeDocument/2006/relationships" r:embed="rId1"/>
        <a:srcRect l="90522" t="25661" r="3198" b="67370"/>
        <a:stretch/>
      </xdr:blipFill>
      <xdr:spPr bwMode="auto">
        <a:xfrm>
          <a:off x="371475" y="20802600"/>
          <a:ext cx="349884" cy="35016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9525</xdr:colOff>
      <xdr:row>62</xdr:row>
      <xdr:rowOff>142874</xdr:rowOff>
    </xdr:from>
    <xdr:ext cx="390525" cy="322793"/>
    <xdr:pic>
      <xdr:nvPicPr>
        <xdr:cNvPr id="13" name="Imagen 12">
          <a:extLst>
            <a:ext uri="{FF2B5EF4-FFF2-40B4-BE49-F238E27FC236}">
              <a16:creationId xmlns:a16="http://schemas.microsoft.com/office/drawing/2014/main" id="{00000000-0008-0000-0800-00000D000000}"/>
            </a:ext>
          </a:extLst>
        </xdr:cNvPr>
        <xdr:cNvPicPr/>
      </xdr:nvPicPr>
      <xdr:blipFill rotWithShape="1">
        <a:blip xmlns:r="http://schemas.openxmlformats.org/officeDocument/2006/relationships" r:embed="rId1"/>
        <a:srcRect l="73767" t="26471" r="19752" b="66560"/>
        <a:stretch/>
      </xdr:blipFill>
      <xdr:spPr bwMode="auto">
        <a:xfrm>
          <a:off x="428625" y="15935324"/>
          <a:ext cx="390525" cy="32279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4081</xdr:colOff>
      <xdr:row>64</xdr:row>
      <xdr:rowOff>145596</xdr:rowOff>
    </xdr:from>
    <xdr:ext cx="329294" cy="283029"/>
    <xdr:pic>
      <xdr:nvPicPr>
        <xdr:cNvPr id="14" name="Imagen 13">
          <a:extLst>
            <a:ext uri="{FF2B5EF4-FFF2-40B4-BE49-F238E27FC236}">
              <a16:creationId xmlns:a16="http://schemas.microsoft.com/office/drawing/2014/main" id="{00000000-0008-0000-0800-00000E000000}"/>
            </a:ext>
          </a:extLst>
        </xdr:cNvPr>
        <xdr:cNvPicPr/>
      </xdr:nvPicPr>
      <xdr:blipFill rotWithShape="1">
        <a:blip xmlns:r="http://schemas.openxmlformats.org/officeDocument/2006/relationships" r:embed="rId1"/>
        <a:srcRect l="82144" t="25661" r="11217" b="67371"/>
        <a:stretch/>
      </xdr:blipFill>
      <xdr:spPr bwMode="auto">
        <a:xfrm>
          <a:off x="385081" y="20319546"/>
          <a:ext cx="329294" cy="28302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3</xdr:col>
      <xdr:colOff>847176</xdr:colOff>
      <xdr:row>115</xdr:row>
      <xdr:rowOff>102230</xdr:rowOff>
    </xdr:from>
    <xdr:ext cx="3361512" cy="27604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800-00000F000000}"/>
                </a:ext>
              </a:extLst>
            </xdr:cNvPr>
            <xdr:cNvSpPr txBox="1"/>
          </xdr:nvSpPr>
          <xdr:spPr>
            <a:xfrm>
              <a:off x="2980776" y="37125905"/>
              <a:ext cx="3361512" cy="276047"/>
            </a:xfrm>
            <a:prstGeom prst="rect">
              <a:avLst/>
            </a:prstGeom>
            <a:noFill/>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200" b="0" i="1">
                        <a:solidFill>
                          <a:schemeClr val="bg1"/>
                        </a:solidFill>
                        <a:latin typeface="Cambria Math" panose="02040503050406030204" pitchFamily="18" charset="0"/>
                        <a:ea typeface="Cambria Math" panose="02040503050406030204" pitchFamily="18" charset="0"/>
                      </a:rPr>
                      <m:t>𝑅𝑒𝑔𝑙𝑎</m:t>
                    </m:r>
                    <m:r>
                      <a:rPr lang="es-CO" sz="1200" b="0" i="1">
                        <a:solidFill>
                          <a:schemeClr val="bg1"/>
                        </a:solidFill>
                        <a:latin typeface="Cambria Math" panose="02040503050406030204" pitchFamily="18" charset="0"/>
                        <a:ea typeface="Cambria Math" panose="02040503050406030204" pitchFamily="18" charset="0"/>
                      </a:rPr>
                      <m:t> </m:t>
                    </m:r>
                    <m:r>
                      <a:rPr lang="es-CO" sz="1200" b="0" i="1">
                        <a:solidFill>
                          <a:schemeClr val="bg1"/>
                        </a:solidFill>
                        <a:latin typeface="Cambria Math" panose="02040503050406030204" pitchFamily="18" charset="0"/>
                        <a:ea typeface="Cambria Math" panose="02040503050406030204" pitchFamily="18" charset="0"/>
                      </a:rPr>
                      <m:t>𝑑𝑒</m:t>
                    </m:r>
                    <m:r>
                      <a:rPr lang="es-CO" sz="1200" b="0" i="1">
                        <a:solidFill>
                          <a:schemeClr val="bg1"/>
                        </a:solidFill>
                        <a:latin typeface="Cambria Math" panose="02040503050406030204" pitchFamily="18" charset="0"/>
                        <a:ea typeface="Cambria Math" panose="02040503050406030204" pitchFamily="18" charset="0"/>
                      </a:rPr>
                      <m:t> </m:t>
                    </m:r>
                    <m:r>
                      <a:rPr lang="es-CO" sz="1200" b="0" i="1">
                        <a:solidFill>
                          <a:schemeClr val="bg1"/>
                        </a:solidFill>
                        <a:latin typeface="Cambria Math" panose="02040503050406030204" pitchFamily="18" charset="0"/>
                        <a:ea typeface="Cambria Math" panose="02040503050406030204" pitchFamily="18" charset="0"/>
                      </a:rPr>
                      <m:t>𝑑𝑒𝑐𝑖𝑠𝑖</m:t>
                    </m:r>
                    <m:r>
                      <a:rPr lang="es-CO" sz="1200" b="0" i="1">
                        <a:solidFill>
                          <a:schemeClr val="bg1"/>
                        </a:solidFill>
                        <a:latin typeface="Cambria Math" panose="02040503050406030204" pitchFamily="18" charset="0"/>
                        <a:ea typeface="Cambria Math" panose="02040503050406030204" pitchFamily="18" charset="0"/>
                      </a:rPr>
                      <m:t>ó</m:t>
                    </m:r>
                    <m:r>
                      <a:rPr lang="es-CO" sz="1200" b="0" i="1">
                        <a:solidFill>
                          <a:schemeClr val="bg1"/>
                        </a:solidFill>
                        <a:latin typeface="Cambria Math" panose="02040503050406030204" pitchFamily="18" charset="0"/>
                        <a:ea typeface="Cambria Math" panose="02040503050406030204" pitchFamily="18" charset="0"/>
                      </a:rPr>
                      <m:t>𝑛</m:t>
                    </m:r>
                    <m:r>
                      <a:rPr lang="es-CO" sz="1200" b="0" i="1">
                        <a:solidFill>
                          <a:schemeClr val="bg1"/>
                        </a:solidFill>
                        <a:latin typeface="Cambria Math" panose="02040503050406030204" pitchFamily="18" charset="0"/>
                        <a:ea typeface="Cambria Math" panose="02040503050406030204" pitchFamily="18" charset="0"/>
                      </a:rPr>
                      <m:t>=|</m:t>
                    </m:r>
                    <m:r>
                      <m:rPr>
                        <m:sty m:val="p"/>
                      </m:rPr>
                      <a:rPr lang="es-CO" sz="1200" b="0" i="0">
                        <a:solidFill>
                          <a:schemeClr val="bg1"/>
                        </a:solidFill>
                        <a:latin typeface="Cambria Math" panose="02040503050406030204" pitchFamily="18" charset="0"/>
                        <a:ea typeface="Cambria Math" panose="02040503050406030204" pitchFamily="18" charset="0"/>
                      </a:rPr>
                      <m:t>E</m:t>
                    </m:r>
                    <m:r>
                      <a:rPr lang="es-CO" sz="1200" b="0" i="1">
                        <a:solidFill>
                          <a:schemeClr val="bg1"/>
                        </a:solidFill>
                        <a:latin typeface="Cambria Math" panose="02040503050406030204" pitchFamily="18" charset="0"/>
                        <a:ea typeface="Cambria Math" panose="02040503050406030204" pitchFamily="18" charset="0"/>
                      </a:rPr>
                      <m:t>|+</m:t>
                    </m:r>
                    <m:r>
                      <a:rPr lang="es-CO" sz="1200" b="0" i="1">
                        <a:solidFill>
                          <a:schemeClr val="bg1"/>
                        </a:solidFill>
                        <a:latin typeface="Cambria Math" panose="02040503050406030204" pitchFamily="18" charset="0"/>
                        <a:ea typeface="Cambria Math" panose="02040503050406030204" pitchFamily="18" charset="0"/>
                      </a:rPr>
                      <m:t>𝑈</m:t>
                    </m:r>
                    <m:r>
                      <a:rPr lang="es-CO" sz="1200" b="0" i="1">
                        <a:solidFill>
                          <a:schemeClr val="bg1"/>
                        </a:solidFill>
                        <a:latin typeface="Cambria Math" panose="02040503050406030204" pitchFamily="18" charset="0"/>
                        <a:ea typeface="Cambria Math" panose="02040503050406030204" pitchFamily="18" charset="0"/>
                      </a:rPr>
                      <m:t>≤</m:t>
                    </m:r>
                    <m:r>
                      <a:rPr lang="es-CO" sz="1200" b="0" i="1">
                        <a:solidFill>
                          <a:schemeClr val="bg1"/>
                        </a:solidFill>
                        <a:latin typeface="Cambria Math" panose="02040503050406030204" pitchFamily="18" charset="0"/>
                        <a:ea typeface="Cambria Math" panose="02040503050406030204" pitchFamily="18" charset="0"/>
                      </a:rPr>
                      <m:t>𝐸𝑀𝑃</m:t>
                    </m:r>
                    <m:r>
                      <a:rPr lang="es-CO" sz="1200" b="0" i="1">
                        <a:solidFill>
                          <a:schemeClr val="bg1"/>
                        </a:solidFill>
                        <a:latin typeface="Cambria Math" panose="02040503050406030204" pitchFamily="18" charset="0"/>
                        <a:ea typeface="Cambria Math" panose="02040503050406030204" pitchFamily="18" charset="0"/>
                      </a:rPr>
                      <m:t>=</m:t>
                    </m:r>
                    <m:r>
                      <a:rPr lang="es-CO" sz="1200" b="0" i="1">
                        <a:solidFill>
                          <a:schemeClr val="bg1"/>
                        </a:solidFill>
                        <a:latin typeface="Cambria Math" panose="02040503050406030204" pitchFamily="18" charset="0"/>
                        <a:ea typeface="Cambria Math" panose="02040503050406030204" pitchFamily="18" charset="0"/>
                      </a:rPr>
                      <m:t>𝐶𝑈𝑀𝑃𝐿𝐸</m:t>
                    </m:r>
                  </m:oMath>
                </m:oMathPara>
              </a14:m>
              <a:endParaRPr lang="es-CO" sz="1200">
                <a:solidFill>
                  <a:schemeClr val="bg1"/>
                </a:solidFill>
                <a:latin typeface="Arial" panose="020B0604020202020204" pitchFamily="34" charset="0"/>
                <a:cs typeface="Arial" panose="020B0604020202020204" pitchFamily="34" charset="0"/>
              </a:endParaRPr>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0700-00000F000000}"/>
                </a:ext>
              </a:extLst>
            </xdr:cNvPr>
            <xdr:cNvSpPr txBox="1"/>
          </xdr:nvSpPr>
          <xdr:spPr>
            <a:xfrm>
              <a:off x="2980776" y="37125905"/>
              <a:ext cx="3361512" cy="276047"/>
            </a:xfrm>
            <a:prstGeom prst="rect">
              <a:avLst/>
            </a:prstGeom>
            <a:noFill/>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r>
                <a:rPr lang="es-CO" sz="1200" b="0" i="0">
                  <a:solidFill>
                    <a:schemeClr val="bg1"/>
                  </a:solidFill>
                  <a:latin typeface="Cambria Math" panose="02040503050406030204" pitchFamily="18" charset="0"/>
                  <a:ea typeface="Cambria Math" panose="02040503050406030204" pitchFamily="18" charset="0"/>
                </a:rPr>
                <a:t>𝑅𝑒𝑔𝑙𝑎 𝑑𝑒 𝑑𝑒𝑐𝑖𝑠𝑖ó𝑛=|E|+𝑈≤𝐸𝑀𝑃=𝐶𝑈𝑀𝑃𝐿𝐸</a:t>
              </a:r>
              <a:endParaRPr lang="es-CO" sz="1200">
                <a:solidFill>
                  <a:schemeClr val="bg1"/>
                </a:solidFill>
                <a:latin typeface="Arial" panose="020B0604020202020204" pitchFamily="34" charset="0"/>
                <a:cs typeface="Arial" panose="020B0604020202020204" pitchFamily="34" charset="0"/>
              </a:endParaRPr>
            </a:p>
          </xdr:txBody>
        </xdr:sp>
      </mc:Fallback>
    </mc:AlternateContent>
    <xdr:clientData/>
  </xdr:oneCellAnchor>
</xdr:wsDr>
</file>

<file path=xl/persons/person.xml><?xml version="1.0" encoding="utf-8"?>
<personList xmlns="http://schemas.microsoft.com/office/spreadsheetml/2018/threadedcomments" xmlns:x="http://schemas.openxmlformats.org/spreadsheetml/2006/main">
  <person displayName="Elvis Aguirre Romero" id="{1729FB61-DAC7-401C-A52D-D9F05AB42C60}" userId="Elvis Aguirre Romero" providerId="None"/>
</personList>
</file>

<file path=xl/theme/theme1.xml><?xml version="1.0" encoding="utf-8"?>
<a:theme xmlns:a="http://schemas.openxmlformats.org/drawingml/2006/main" name="Tema de Office">
  <a:themeElements>
    <a:clrScheme name="Azul">
      <a:dk1>
        <a:sysClr val="windowText" lastClr="000000"/>
      </a:dk1>
      <a:lt1>
        <a:sysClr val="window" lastClr="FFFFFF"/>
      </a:lt1>
      <a:dk2>
        <a:srgbClr val="17406D"/>
      </a:dk2>
      <a:lt2>
        <a:srgbClr val="DBEFF9"/>
      </a:lt2>
      <a:accent1>
        <a:srgbClr val="0F6FC6"/>
      </a:accent1>
      <a:accent2>
        <a:srgbClr val="009DD9"/>
      </a:accent2>
      <a:accent3>
        <a:srgbClr val="0BD0D9"/>
      </a:accent3>
      <a:accent4>
        <a:srgbClr val="10CF9B"/>
      </a:accent4>
      <a:accent5>
        <a:srgbClr val="7CCA62"/>
      </a:accent5>
      <a:accent6>
        <a:srgbClr val="A5C249"/>
      </a:accent6>
      <a:hlink>
        <a:srgbClr val="F49100"/>
      </a:hlink>
      <a:folHlink>
        <a:srgbClr val="85DFD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Q36" dT="2020-08-24T15:44:37.48" personId="{1729FB61-DAC7-401C-A52D-D9F05AB42C60}" id="{F4C78DFD-55AB-4778-B6B3-60BA6BB83573}">
    <text>Puntos de calibración anterior 2019</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66CC"/>
  </sheetPr>
  <dimension ref="A1:CP228"/>
  <sheetViews>
    <sheetView showGridLines="0" view="pageBreakPreview" topLeftCell="A10" zoomScale="80" zoomScaleNormal="50" zoomScaleSheetLayoutView="80" workbookViewId="0">
      <selection activeCell="G15" sqref="G15"/>
    </sheetView>
  </sheetViews>
  <sheetFormatPr baseColWidth="10" defaultColWidth="15.7109375" defaultRowHeight="35.1" customHeight="1" x14ac:dyDescent="0.2"/>
  <cols>
    <col min="1" max="3" width="15.7109375" style="549"/>
    <col min="4" max="4" width="23.7109375" style="549" bestFit="1" customWidth="1"/>
    <col min="5" max="6" width="19.140625" style="549" customWidth="1"/>
    <col min="7" max="7" width="23.140625" style="549" customWidth="1"/>
    <col min="8" max="8" width="15.7109375" style="549"/>
    <col min="9" max="9" width="17.140625" style="549" customWidth="1"/>
    <col min="10" max="10" width="20.7109375" style="549" customWidth="1"/>
    <col min="11" max="11" width="22" style="549" customWidth="1"/>
    <col min="12" max="12" width="18.5703125" style="549" customWidth="1"/>
    <col min="13" max="13" width="20.140625" style="549" customWidth="1"/>
    <col min="14" max="14" width="23.42578125" style="549" bestFit="1" customWidth="1"/>
    <col min="15" max="15" width="19.85546875" style="549" customWidth="1"/>
    <col min="16" max="16" width="16.5703125" style="549" customWidth="1"/>
    <col min="17" max="17" width="17.7109375" style="549" customWidth="1"/>
    <col min="18" max="18" width="18.7109375" style="549" customWidth="1"/>
    <col min="19" max="19" width="16.5703125" style="549" customWidth="1"/>
    <col min="20" max="20" width="17.140625" style="552" customWidth="1"/>
    <col min="21" max="21" width="27" style="552" customWidth="1"/>
    <col min="22" max="22" width="15.5703125" style="552" customWidth="1"/>
    <col min="23" max="23" width="18.7109375" style="552" bestFit="1" customWidth="1"/>
    <col min="24" max="24" width="15.85546875" style="552" customWidth="1"/>
    <col min="25" max="25" width="18.28515625" style="552" customWidth="1"/>
    <col min="26" max="28" width="16" style="552" customWidth="1"/>
    <col min="29" max="33" width="16" style="549" customWidth="1"/>
    <col min="34" max="40" width="20.7109375" style="549" customWidth="1"/>
    <col min="41" max="42" width="15.7109375" style="549"/>
    <col min="43" max="43" width="15.7109375" style="551"/>
    <col min="44" max="45" width="15.7109375" style="549"/>
    <col min="46" max="56" width="16" style="549" customWidth="1"/>
    <col min="57" max="58" width="16" style="549" bestFit="1" customWidth="1"/>
    <col min="59" max="16384" width="15.7109375" style="549"/>
  </cols>
  <sheetData>
    <row r="1" spans="1:94" ht="97.5" customHeight="1" thickBot="1" x14ac:dyDescent="0.25">
      <c r="A1" s="1632"/>
      <c r="B1" s="1633"/>
      <c r="C1" s="1633"/>
      <c r="D1" s="1634"/>
      <c r="E1" s="1610" t="s">
        <v>261</v>
      </c>
      <c r="F1" s="1611"/>
      <c r="G1" s="1611"/>
      <c r="H1" s="1611"/>
      <c r="I1" s="1611"/>
      <c r="J1" s="1611"/>
      <c r="K1" s="1611"/>
      <c r="L1" s="1611"/>
      <c r="M1" s="1611"/>
      <c r="N1" s="1611"/>
      <c r="O1" s="1611"/>
      <c r="P1" s="1611"/>
      <c r="Q1" s="1611"/>
      <c r="R1" s="1611"/>
      <c r="S1" s="1611"/>
      <c r="T1" s="1611"/>
      <c r="U1" s="1611"/>
      <c r="V1" s="1612"/>
      <c r="W1" s="548"/>
      <c r="X1" s="548"/>
      <c r="Y1" s="548"/>
      <c r="Z1" s="548"/>
      <c r="AA1" s="548"/>
      <c r="AB1" s="548"/>
      <c r="AC1" s="548"/>
      <c r="AD1" s="548"/>
      <c r="AG1" s="545"/>
      <c r="AH1" s="545"/>
      <c r="AI1" s="548"/>
      <c r="AJ1" s="548"/>
      <c r="AK1" s="548"/>
      <c r="AL1" s="548"/>
      <c r="AM1" s="548"/>
      <c r="AN1" s="548"/>
      <c r="AO1" s="548"/>
      <c r="AP1" s="548"/>
      <c r="AQ1" s="550"/>
      <c r="AR1" s="548"/>
      <c r="AS1" s="548"/>
      <c r="AT1" s="548"/>
      <c r="AU1" s="548"/>
      <c r="AW1" s="545"/>
      <c r="AX1" s="545"/>
      <c r="AY1" s="548"/>
      <c r="AZ1" s="548"/>
      <c r="BA1" s="548"/>
      <c r="BB1" s="548"/>
      <c r="BC1" s="548"/>
      <c r="BD1" s="548"/>
      <c r="BE1" s="548"/>
      <c r="BF1" s="548"/>
      <c r="BG1" s="548"/>
      <c r="BH1" s="548"/>
      <c r="BI1" s="548"/>
      <c r="BJ1" s="548"/>
      <c r="BK1" s="548"/>
      <c r="BL1" s="548"/>
      <c r="BM1" s="548"/>
    </row>
    <row r="2" spans="1:94" ht="35.1" customHeight="1" x14ac:dyDescent="0.2">
      <c r="C2" s="545"/>
      <c r="T2" s="549"/>
      <c r="U2" s="549"/>
      <c r="V2" s="549"/>
      <c r="W2" s="549"/>
      <c r="X2" s="549"/>
      <c r="Y2" s="549"/>
      <c r="Z2" s="549"/>
      <c r="AA2" s="549"/>
      <c r="AB2" s="549"/>
    </row>
    <row r="3" spans="1:94" ht="35.1" customHeight="1" x14ac:dyDescent="0.2">
      <c r="U3" s="549"/>
      <c r="V3" s="549"/>
      <c r="W3" s="549"/>
      <c r="X3" s="549"/>
      <c r="Y3" s="549"/>
      <c r="Z3" s="549"/>
      <c r="AA3" s="549"/>
      <c r="AB3" s="549"/>
      <c r="AH3" s="552"/>
      <c r="AI3" s="552"/>
      <c r="AJ3" s="552"/>
      <c r="AK3" s="552"/>
      <c r="AL3" s="552"/>
      <c r="AM3" s="552"/>
      <c r="AN3" s="552"/>
      <c r="AO3" s="552"/>
      <c r="AP3" s="552"/>
    </row>
    <row r="4" spans="1:94" ht="30" customHeight="1" thickBot="1" x14ac:dyDescent="0.25">
      <c r="U4" s="549"/>
      <c r="V4" s="549"/>
      <c r="W4" s="549"/>
      <c r="X4" s="549"/>
      <c r="Y4" s="549"/>
      <c r="Z4" s="549"/>
      <c r="AA4" s="549"/>
      <c r="AB4" s="549"/>
      <c r="AV4" s="545"/>
      <c r="BE4" s="545"/>
    </row>
    <row r="5" spans="1:94" ht="69.95" customHeight="1" thickBot="1" x14ac:dyDescent="0.25">
      <c r="D5" s="1434" t="s">
        <v>254</v>
      </c>
      <c r="E5" s="1625"/>
      <c r="F5" s="1625"/>
      <c r="G5" s="1625"/>
      <c r="H5" s="1625"/>
      <c r="I5" s="1625"/>
      <c r="J5" s="1625"/>
      <c r="K5" s="1625"/>
      <c r="L5" s="1625"/>
      <c r="M5" s="1625"/>
      <c r="N5" s="1435"/>
      <c r="U5" s="549"/>
      <c r="V5" s="549"/>
      <c r="W5" s="549"/>
      <c r="X5" s="549"/>
      <c r="Y5" s="549"/>
      <c r="Z5" s="549"/>
      <c r="AA5" s="549"/>
      <c r="AB5" s="549"/>
      <c r="AD5" s="553"/>
      <c r="AV5" s="545"/>
      <c r="BE5" s="554"/>
    </row>
    <row r="6" spans="1:94" ht="77.25" customHeight="1" thickBot="1" x14ac:dyDescent="0.3">
      <c r="D6" s="555" t="s">
        <v>201</v>
      </c>
      <c r="E6" s="556" t="s">
        <v>431</v>
      </c>
      <c r="F6" s="557" t="s">
        <v>165</v>
      </c>
      <c r="G6" s="557" t="s">
        <v>430</v>
      </c>
      <c r="H6" s="557"/>
      <c r="I6" s="557" t="s">
        <v>26</v>
      </c>
      <c r="J6" s="557" t="s">
        <v>563</v>
      </c>
      <c r="K6" s="558" t="s">
        <v>43</v>
      </c>
      <c r="L6" s="558" t="s">
        <v>392</v>
      </c>
      <c r="M6" s="559" t="s">
        <v>299</v>
      </c>
      <c r="N6" s="559" t="s">
        <v>255</v>
      </c>
      <c r="AV6" s="545"/>
      <c r="BE6" s="545"/>
      <c r="BY6" s="560"/>
    </row>
    <row r="7" spans="1:94" ht="30" customHeight="1" thickBot="1" x14ac:dyDescent="0.25">
      <c r="D7" s="561"/>
      <c r="E7" s="562"/>
      <c r="F7" s="562"/>
      <c r="G7" s="562"/>
      <c r="H7" s="563"/>
      <c r="I7" s="562"/>
      <c r="J7" s="562"/>
      <c r="K7" s="562"/>
      <c r="L7" s="562"/>
      <c r="M7" s="564"/>
      <c r="N7" s="565"/>
      <c r="P7" s="1620" t="s">
        <v>362</v>
      </c>
      <c r="Q7" s="1621"/>
      <c r="R7" s="1621"/>
      <c r="S7" s="1621"/>
      <c r="T7" s="1621"/>
      <c r="U7" s="1622"/>
      <c r="AV7" s="566"/>
      <c r="BE7" s="545"/>
    </row>
    <row r="8" spans="1:94" s="567" customFormat="1" ht="30" customHeight="1" thickBot="1" x14ac:dyDescent="0.25">
      <c r="B8" s="549"/>
      <c r="C8" s="549"/>
      <c r="D8" s="1262">
        <v>1</v>
      </c>
      <c r="E8" s="1263" t="s">
        <v>393</v>
      </c>
      <c r="F8" s="1283"/>
      <c r="G8" s="1164" t="s">
        <v>533</v>
      </c>
      <c r="H8" s="1263"/>
      <c r="I8" s="1283"/>
      <c r="J8" s="1163"/>
      <c r="K8" s="1163"/>
      <c r="L8" s="1163"/>
      <c r="M8" s="1163"/>
      <c r="N8" s="1284"/>
      <c r="P8" s="571" t="s">
        <v>201</v>
      </c>
      <c r="Q8" s="1614" t="s">
        <v>363</v>
      </c>
      <c r="R8" s="1615"/>
      <c r="S8" s="1615"/>
      <c r="T8" s="1615"/>
      <c r="U8" s="1616"/>
      <c r="AI8" s="549"/>
      <c r="AJ8" s="549"/>
      <c r="AV8" s="566"/>
      <c r="BE8" s="566"/>
      <c r="BZ8" s="549"/>
      <c r="CA8" s="549"/>
      <c r="CB8" s="549"/>
      <c r="CC8" s="549"/>
      <c r="CD8" s="549"/>
      <c r="CE8" s="549"/>
      <c r="CF8" s="549"/>
      <c r="CG8" s="549"/>
      <c r="CH8" s="549"/>
      <c r="CI8" s="549"/>
      <c r="CJ8" s="549"/>
      <c r="CK8" s="549"/>
      <c r="CL8" s="549"/>
      <c r="CM8" s="549"/>
      <c r="CN8" s="549"/>
      <c r="CO8" s="549"/>
      <c r="CP8" s="549"/>
    </row>
    <row r="9" spans="1:94" s="567" customFormat="1" ht="30" customHeight="1" thickBot="1" x14ac:dyDescent="0.25">
      <c r="B9" s="549"/>
      <c r="C9" s="549"/>
      <c r="D9" s="572"/>
      <c r="E9" s="573"/>
      <c r="F9" s="574"/>
      <c r="G9" s="573"/>
      <c r="H9" s="575"/>
      <c r="I9" s="574"/>
      <c r="J9" s="573"/>
      <c r="K9" s="573"/>
      <c r="L9" s="573"/>
      <c r="M9" s="573"/>
      <c r="N9" s="576"/>
      <c r="P9" s="577"/>
      <c r="Q9" s="1623"/>
      <c r="R9" s="1624"/>
      <c r="S9" s="1617"/>
      <c r="T9" s="1618"/>
      <c r="U9" s="1619"/>
      <c r="AI9" s="549"/>
      <c r="AJ9" s="549"/>
      <c r="AV9" s="566"/>
      <c r="BE9" s="566"/>
      <c r="BZ9" s="549"/>
      <c r="CA9" s="549"/>
      <c r="CB9" s="549"/>
      <c r="CC9" s="549"/>
      <c r="CD9" s="549"/>
      <c r="CE9" s="549"/>
      <c r="CF9" s="549"/>
      <c r="CG9" s="549"/>
      <c r="CH9" s="549"/>
      <c r="CI9" s="549"/>
      <c r="CJ9" s="549"/>
      <c r="CK9" s="549"/>
      <c r="CL9" s="549"/>
      <c r="CM9" s="549"/>
      <c r="CN9" s="549"/>
      <c r="CO9" s="549"/>
      <c r="CP9" s="549"/>
    </row>
    <row r="10" spans="1:94" s="567" customFormat="1" ht="30" customHeight="1" thickBot="1" x14ac:dyDescent="0.25">
      <c r="B10" s="549"/>
      <c r="C10" s="549"/>
      <c r="D10" s="578"/>
      <c r="E10" s="579"/>
      <c r="F10" s="580"/>
      <c r="G10" s="579"/>
      <c r="H10" s="580"/>
      <c r="I10" s="578"/>
      <c r="J10" s="578"/>
      <c r="K10" s="578"/>
      <c r="L10" s="578"/>
      <c r="M10" s="549"/>
      <c r="N10" s="549"/>
      <c r="O10" s="549"/>
      <c r="P10" s="581" t="s">
        <v>440</v>
      </c>
      <c r="Q10" s="582" t="s">
        <v>479</v>
      </c>
      <c r="R10" s="582"/>
      <c r="S10" s="582" t="s">
        <v>477</v>
      </c>
      <c r="T10" s="583"/>
      <c r="U10" s="584" t="s">
        <v>316</v>
      </c>
      <c r="W10" s="549"/>
      <c r="X10" s="549"/>
      <c r="AI10" s="549"/>
      <c r="AJ10" s="549"/>
      <c r="AV10" s="566"/>
      <c r="BE10" s="566"/>
      <c r="BZ10" s="549"/>
      <c r="CA10" s="549"/>
      <c r="CB10" s="549"/>
      <c r="CC10" s="549"/>
      <c r="CD10" s="549"/>
      <c r="CE10" s="549"/>
      <c r="CF10" s="549"/>
      <c r="CG10" s="549"/>
      <c r="CH10" s="549"/>
      <c r="CI10" s="549"/>
      <c r="CJ10" s="549"/>
      <c r="CK10" s="549"/>
      <c r="CL10" s="549"/>
      <c r="CM10" s="549"/>
      <c r="CN10" s="549"/>
      <c r="CO10" s="549"/>
      <c r="CP10" s="549"/>
    </row>
    <row r="11" spans="1:94" s="567" customFormat="1" ht="30" customHeight="1" x14ac:dyDescent="0.2">
      <c r="B11" s="1626" t="s">
        <v>325</v>
      </c>
      <c r="C11" s="1627"/>
      <c r="D11" s="1627"/>
      <c r="E11" s="1627"/>
      <c r="F11" s="1627"/>
      <c r="G11" s="1627"/>
      <c r="H11" s="1627"/>
      <c r="I11" s="1627"/>
      <c r="J11" s="1627"/>
      <c r="K11" s="1627"/>
      <c r="L11" s="1627"/>
      <c r="M11" s="1627"/>
      <c r="N11" s="1628"/>
      <c r="O11" s="549"/>
      <c r="P11" s="568" t="s">
        <v>252</v>
      </c>
      <c r="Q11" s="585" t="s">
        <v>148</v>
      </c>
      <c r="R11" s="583"/>
      <c r="S11" s="582" t="s">
        <v>478</v>
      </c>
      <c r="T11" s="583"/>
      <c r="U11" s="584" t="s">
        <v>316</v>
      </c>
      <c r="W11" s="549"/>
      <c r="X11" s="549"/>
      <c r="AI11" s="549"/>
      <c r="AJ11" s="549"/>
      <c r="AV11" s="566"/>
      <c r="BE11" s="566"/>
      <c r="BZ11" s="549"/>
      <c r="CA11" s="549"/>
      <c r="CB11" s="549"/>
      <c r="CC11" s="549"/>
      <c r="CD11" s="549"/>
      <c r="CE11" s="549"/>
      <c r="CF11" s="549"/>
      <c r="CG11" s="549"/>
      <c r="CH11" s="549"/>
      <c r="CI11" s="549"/>
      <c r="CJ11" s="549"/>
      <c r="CK11" s="549"/>
      <c r="CL11" s="549"/>
      <c r="CM11" s="549"/>
      <c r="CN11" s="549"/>
      <c r="CO11" s="549"/>
      <c r="CP11" s="549"/>
    </row>
    <row r="12" spans="1:94" s="567" customFormat="1" ht="30" customHeight="1" thickBot="1" x14ac:dyDescent="0.25">
      <c r="B12" s="1629"/>
      <c r="C12" s="1630"/>
      <c r="D12" s="1630"/>
      <c r="E12" s="1630"/>
      <c r="F12" s="1630"/>
      <c r="G12" s="1630"/>
      <c r="H12" s="1630"/>
      <c r="I12" s="1630"/>
      <c r="J12" s="1630"/>
      <c r="K12" s="1630"/>
      <c r="L12" s="1630"/>
      <c r="M12" s="1630"/>
      <c r="N12" s="1631"/>
      <c r="O12" s="549"/>
      <c r="P12" s="586" t="s">
        <v>253</v>
      </c>
      <c r="Q12" s="587" t="s">
        <v>207</v>
      </c>
      <c r="R12" s="588"/>
      <c r="S12" s="589" t="s">
        <v>477</v>
      </c>
      <c r="T12" s="588"/>
      <c r="U12" s="590" t="s">
        <v>316</v>
      </c>
      <c r="W12" s="549"/>
      <c r="X12" s="549"/>
      <c r="Y12" s="566"/>
      <c r="AI12" s="549"/>
      <c r="AJ12" s="549"/>
      <c r="AV12" s="545"/>
      <c r="BE12" s="566"/>
      <c r="BZ12" s="549"/>
      <c r="CA12" s="549"/>
      <c r="CB12" s="549"/>
      <c r="CC12" s="549"/>
      <c r="CD12" s="549"/>
      <c r="CE12" s="549"/>
      <c r="CF12" s="549"/>
      <c r="CG12" s="549"/>
      <c r="CH12" s="549"/>
      <c r="CI12" s="549"/>
      <c r="CJ12" s="549"/>
      <c r="CK12" s="549"/>
      <c r="CL12" s="549"/>
      <c r="CM12" s="549"/>
      <c r="CN12" s="549"/>
      <c r="CO12" s="549"/>
      <c r="CP12" s="549"/>
    </row>
    <row r="13" spans="1:94" ht="97.5" customHeight="1" thickBot="1" x14ac:dyDescent="0.25">
      <c r="B13" s="591" t="s">
        <v>201</v>
      </c>
      <c r="C13" s="592" t="s">
        <v>35</v>
      </c>
      <c r="D13" s="592" t="s">
        <v>36</v>
      </c>
      <c r="E13" s="592" t="s">
        <v>172</v>
      </c>
      <c r="F13" s="592" t="s">
        <v>483</v>
      </c>
      <c r="G13" s="592" t="s">
        <v>482</v>
      </c>
      <c r="H13" s="593" t="s">
        <v>204</v>
      </c>
      <c r="I13" s="592" t="s">
        <v>205</v>
      </c>
      <c r="J13" s="593" t="s">
        <v>557</v>
      </c>
      <c r="K13" s="592" t="s">
        <v>202</v>
      </c>
      <c r="L13" s="592" t="s">
        <v>206</v>
      </c>
      <c r="M13" s="592" t="s">
        <v>558</v>
      </c>
      <c r="N13" s="592" t="s">
        <v>255</v>
      </c>
      <c r="O13" s="552"/>
      <c r="P13" s="552"/>
      <c r="Q13" s="552"/>
      <c r="R13" s="552"/>
      <c r="S13" s="552"/>
      <c r="W13" s="549"/>
      <c r="X13" s="549"/>
      <c r="Y13" s="567"/>
      <c r="AV13" s="545"/>
      <c r="BE13" s="545"/>
    </row>
    <row r="14" spans="1:94" ht="30" customHeight="1" thickBot="1" x14ac:dyDescent="0.25">
      <c r="B14" s="561"/>
      <c r="C14" s="594"/>
      <c r="D14" s="594"/>
      <c r="E14" s="594"/>
      <c r="F14" s="594"/>
      <c r="G14" s="594"/>
      <c r="H14" s="1244"/>
      <c r="I14" s="594"/>
      <c r="J14" s="272"/>
      <c r="K14" s="594"/>
      <c r="L14" s="594"/>
      <c r="M14" s="594"/>
      <c r="N14" s="595"/>
      <c r="O14" s="552"/>
      <c r="P14" s="552"/>
      <c r="Q14" s="596"/>
      <c r="R14" s="596"/>
      <c r="S14" s="553"/>
      <c r="T14" s="1580"/>
      <c r="U14" s="1580"/>
      <c r="V14" s="1580"/>
      <c r="W14" s="549"/>
      <c r="X14" s="549"/>
      <c r="Y14" s="549"/>
      <c r="AV14" s="545"/>
      <c r="BE14" s="545"/>
    </row>
    <row r="15" spans="1:94" ht="30" customHeight="1" thickBot="1" x14ac:dyDescent="0.25">
      <c r="B15" s="568">
        <v>1</v>
      </c>
      <c r="C15" s="1163"/>
      <c r="D15" s="1167"/>
      <c r="E15" s="1168"/>
      <c r="F15" s="738">
        <v>15.56</v>
      </c>
      <c r="G15" s="597" t="s">
        <v>394</v>
      </c>
      <c r="H15" s="569" t="e">
        <f>VLOOKUP(H14,'DATOS %'!AC114:AF119,4,FALSE)</f>
        <v>#N/A</v>
      </c>
      <c r="I15" s="569" t="e">
        <f>H15</f>
        <v>#N/A</v>
      </c>
      <c r="J15" s="598" t="e">
        <f>VLOOKUP(J14,'DATOS %'!AH114:AI117,2,FALSE)</f>
        <v>#N/A</v>
      </c>
      <c r="K15" s="599" t="e">
        <f>AVERAGE(K17:K19)</f>
        <v>#DIV/0!</v>
      </c>
      <c r="L15" s="600">
        <v>5.0000000000000001E-3</v>
      </c>
      <c r="M15" s="598">
        <v>9.9000000000000001E-6</v>
      </c>
      <c r="N15" s="601">
        <f>N8</f>
        <v>0</v>
      </c>
      <c r="P15" s="552"/>
      <c r="Q15" s="552"/>
      <c r="R15" s="552"/>
      <c r="T15" s="545"/>
      <c r="Y15" s="549"/>
      <c r="AV15" s="545"/>
      <c r="BE15" s="545"/>
    </row>
    <row r="16" spans="1:94" ht="30" customHeight="1" thickBot="1" x14ac:dyDescent="0.25">
      <c r="B16" s="572"/>
      <c r="C16" s="573"/>
      <c r="D16" s="573"/>
      <c r="E16" s="573"/>
      <c r="F16" s="573"/>
      <c r="G16" s="573"/>
      <c r="H16" s="573"/>
      <c r="I16" s="573"/>
      <c r="J16" s="602"/>
      <c r="K16" s="857" t="s">
        <v>329</v>
      </c>
      <c r="L16" s="603"/>
      <c r="M16" s="573"/>
      <c r="N16" s="604"/>
      <c r="O16" s="605"/>
      <c r="P16" s="552"/>
      <c r="Q16" s="552"/>
      <c r="R16" s="552"/>
      <c r="T16" s="545"/>
      <c r="Y16" s="549"/>
      <c r="AV16" s="545"/>
      <c r="BE16" s="545"/>
    </row>
    <row r="17" spans="1:58" ht="30" customHeight="1" x14ac:dyDescent="0.2">
      <c r="B17" s="545"/>
      <c r="C17" s="545"/>
      <c r="D17" s="578"/>
      <c r="E17" s="579"/>
      <c r="F17" s="606"/>
      <c r="G17" s="579"/>
      <c r="H17" s="606"/>
      <c r="I17" s="579"/>
      <c r="J17" s="579"/>
      <c r="K17" s="1285"/>
      <c r="L17" s="579"/>
      <c r="O17" s="552"/>
      <c r="P17" s="552"/>
      <c r="Q17" s="552"/>
      <c r="R17" s="552"/>
      <c r="T17" s="545"/>
      <c r="AV17" s="545"/>
      <c r="BE17" s="545"/>
    </row>
    <row r="18" spans="1:58" ht="30" customHeight="1" x14ac:dyDescent="0.2">
      <c r="B18" s="545"/>
      <c r="C18" s="545"/>
      <c r="D18" s="578"/>
      <c r="E18" s="579"/>
      <c r="F18" s="606"/>
      <c r="G18" s="579"/>
      <c r="H18" s="606"/>
      <c r="I18" s="579"/>
      <c r="J18" s="579"/>
      <c r="K18" s="1286"/>
      <c r="L18" s="579"/>
      <c r="O18" s="552"/>
      <c r="P18" s="552"/>
      <c r="Q18" s="552"/>
      <c r="R18" s="552"/>
      <c r="T18" s="545"/>
      <c r="AV18" s="545"/>
      <c r="BE18" s="545"/>
    </row>
    <row r="19" spans="1:58" ht="30" customHeight="1" thickBot="1" x14ac:dyDescent="0.25">
      <c r="A19" s="579"/>
      <c r="B19" s="579"/>
      <c r="C19" s="579"/>
      <c r="D19" s="579"/>
      <c r="E19" s="579"/>
      <c r="F19" s="579"/>
      <c r="G19" s="579"/>
      <c r="H19" s="579"/>
      <c r="I19" s="579"/>
      <c r="J19" s="579"/>
      <c r="K19" s="1287"/>
      <c r="L19" s="851"/>
      <c r="M19" s="851"/>
      <c r="N19" s="851"/>
      <c r="O19" s="851"/>
      <c r="P19" s="552"/>
      <c r="Q19" s="552"/>
      <c r="R19" s="552"/>
      <c r="T19" s="545"/>
      <c r="AV19" s="545"/>
      <c r="AW19" s="545"/>
      <c r="AX19" s="545"/>
      <c r="AY19" s="545"/>
      <c r="AZ19" s="545"/>
      <c r="BA19" s="545"/>
      <c r="BB19" s="545"/>
      <c r="BC19" s="545"/>
      <c r="BD19" s="545"/>
      <c r="BE19" s="545"/>
    </row>
    <row r="20" spans="1:58" ht="30" customHeight="1" thickBot="1" x14ac:dyDescent="0.25">
      <c r="A20" s="566"/>
      <c r="B20" s="566"/>
      <c r="C20" s="566"/>
      <c r="D20" s="566"/>
      <c r="E20" s="566"/>
      <c r="F20" s="566"/>
      <c r="G20" s="566"/>
      <c r="H20" s="566"/>
      <c r="I20" s="566"/>
      <c r="J20" s="566"/>
      <c r="K20" s="609"/>
      <c r="L20" s="851"/>
      <c r="M20" s="851"/>
      <c r="N20" s="851"/>
      <c r="O20" s="851"/>
      <c r="P20" s="552"/>
      <c r="Q20" s="552"/>
      <c r="R20" s="552"/>
      <c r="T20" s="545"/>
      <c r="AV20" s="545"/>
      <c r="AW20" s="545"/>
      <c r="AX20" s="545"/>
      <c r="AY20" s="545"/>
      <c r="AZ20" s="545"/>
      <c r="BA20" s="545"/>
      <c r="BB20" s="545"/>
      <c r="BC20" s="545"/>
      <c r="BD20" s="545"/>
      <c r="BE20" s="545"/>
    </row>
    <row r="21" spans="1:58" ht="30" customHeight="1" thickBot="1" x14ac:dyDescent="0.25">
      <c r="A21" s="610"/>
      <c r="B21" s="1437" t="s">
        <v>256</v>
      </c>
      <c r="C21" s="1438"/>
      <c r="D21" s="1438"/>
      <c r="E21" s="1438"/>
      <c r="F21" s="1438"/>
      <c r="G21" s="1438"/>
      <c r="H21" s="1438"/>
      <c r="I21" s="1438"/>
      <c r="J21" s="1438"/>
      <c r="K21" s="1438"/>
      <c r="L21" s="1438"/>
      <c r="M21" s="1438"/>
      <c r="N21" s="1438"/>
      <c r="O21" s="1439"/>
      <c r="P21" s="611"/>
      <c r="Q21" s="552"/>
      <c r="R21" s="552"/>
      <c r="T21" s="545"/>
      <c r="AV21" s="545"/>
      <c r="BE21" s="545"/>
    </row>
    <row r="22" spans="1:58" ht="30" customHeight="1" thickBot="1" x14ac:dyDescent="0.25">
      <c r="A22" s="610"/>
      <c r="B22" s="545"/>
      <c r="C22" s="545"/>
      <c r="D22" s="545"/>
      <c r="E22" s="545"/>
      <c r="F22" s="545"/>
      <c r="G22" s="545"/>
      <c r="H22" s="545"/>
      <c r="I22" s="545"/>
      <c r="J22" s="545"/>
      <c r="K22" s="612"/>
      <c r="L22" s="545"/>
      <c r="M22" s="545"/>
      <c r="N22" s="545"/>
      <c r="O22" s="552"/>
      <c r="P22" s="552"/>
      <c r="Q22" s="552"/>
      <c r="R22" s="552"/>
      <c r="T22" s="545"/>
      <c r="AV22" s="545"/>
      <c r="BE22" s="545"/>
    </row>
    <row r="23" spans="1:58" ht="80.25" customHeight="1" thickBot="1" x14ac:dyDescent="0.25">
      <c r="A23" s="610"/>
      <c r="B23" s="837" t="s">
        <v>353</v>
      </c>
      <c r="C23" s="838" t="s">
        <v>35</v>
      </c>
      <c r="D23" s="838" t="s">
        <v>36</v>
      </c>
      <c r="E23" s="838" t="s">
        <v>172</v>
      </c>
      <c r="F23" s="838" t="s">
        <v>586</v>
      </c>
      <c r="G23" s="838" t="s">
        <v>173</v>
      </c>
      <c r="H23" s="838" t="s">
        <v>317</v>
      </c>
      <c r="I23" s="838" t="s">
        <v>318</v>
      </c>
      <c r="J23" s="838" t="s">
        <v>574</v>
      </c>
      <c r="K23" s="839" t="s">
        <v>202</v>
      </c>
      <c r="L23" s="840" t="s">
        <v>395</v>
      </c>
      <c r="M23" s="841" t="s">
        <v>158</v>
      </c>
      <c r="R23" s="552"/>
      <c r="T23" s="545"/>
      <c r="AV23" s="545"/>
      <c r="BE23" s="545"/>
    </row>
    <row r="24" spans="1:58" ht="30" customHeight="1" thickBot="1" x14ac:dyDescent="0.25">
      <c r="A24" s="610"/>
      <c r="B24" s="546"/>
      <c r="C24" s="613"/>
      <c r="D24" s="613"/>
      <c r="E24" s="613"/>
      <c r="F24" s="613"/>
      <c r="G24" s="613"/>
      <c r="H24" s="613"/>
      <c r="I24" s="613"/>
      <c r="J24" s="613"/>
      <c r="K24" s="614"/>
      <c r="L24" s="613"/>
      <c r="M24" s="547"/>
      <c r="Q24" s="1635" t="s">
        <v>600</v>
      </c>
      <c r="R24" s="1636"/>
      <c r="S24" s="1636"/>
      <c r="T24" s="1636"/>
      <c r="U24" s="1636"/>
      <c r="V24" s="1636"/>
      <c r="W24" s="1637"/>
      <c r="AD24" s="545"/>
      <c r="AV24" s="545"/>
      <c r="BE24" s="545"/>
      <c r="BF24" s="545"/>
    </row>
    <row r="25" spans="1:58" ht="30" customHeight="1" thickBot="1" x14ac:dyDescent="0.25">
      <c r="A25" s="610"/>
      <c r="B25" s="615" t="s">
        <v>182</v>
      </c>
      <c r="C25" s="616" t="s">
        <v>65</v>
      </c>
      <c r="D25" s="616" t="s">
        <v>66</v>
      </c>
      <c r="E25" s="616" t="s">
        <v>400</v>
      </c>
      <c r="F25" s="617">
        <v>15.56</v>
      </c>
      <c r="G25" s="711">
        <v>5</v>
      </c>
      <c r="H25" s="618">
        <v>4.0967700000000002</v>
      </c>
      <c r="I25" s="618">
        <f>H25</f>
        <v>4.0967700000000002</v>
      </c>
      <c r="J25" s="616">
        <v>4.7700000000000001E-5</v>
      </c>
      <c r="K25" s="617">
        <f>(5.49+5.5+5.51)/3</f>
        <v>5.5</v>
      </c>
      <c r="L25" s="619">
        <v>5.0000000000000001E-3</v>
      </c>
      <c r="M25" s="620">
        <v>9.9000000000000001E-6</v>
      </c>
      <c r="Q25" s="1638"/>
      <c r="R25" s="1639"/>
      <c r="S25" s="1639"/>
      <c r="T25" s="1639"/>
      <c r="U25" s="1639"/>
      <c r="V25" s="1639"/>
      <c r="W25" s="1640"/>
      <c r="X25" s="549"/>
      <c r="Y25" s="579"/>
      <c r="Z25" s="579"/>
      <c r="AA25" s="579"/>
      <c r="AB25" s="579"/>
      <c r="AC25" s="579"/>
      <c r="AD25" s="545"/>
      <c r="AV25" s="545"/>
      <c r="BE25" s="545"/>
      <c r="BF25" s="545"/>
    </row>
    <row r="26" spans="1:58" ht="30" customHeight="1" thickBot="1" x14ac:dyDescent="0.25">
      <c r="A26" s="610"/>
      <c r="B26" s="621" t="s">
        <v>183</v>
      </c>
      <c r="C26" s="1165" t="s">
        <v>65</v>
      </c>
      <c r="D26" s="1166" t="s">
        <v>21</v>
      </c>
      <c r="E26" s="1165" t="s">
        <v>401</v>
      </c>
      <c r="F26" s="625">
        <v>15.56</v>
      </c>
      <c r="G26" s="942">
        <v>5</v>
      </c>
      <c r="H26" s="626">
        <v>8.1935000000000002</v>
      </c>
      <c r="I26" s="622">
        <f>H26</f>
        <v>8.1935000000000002</v>
      </c>
      <c r="J26" s="622">
        <v>4.7700000000000001E-5</v>
      </c>
      <c r="K26" s="625">
        <f>(7.29+7.26+7.25)/3</f>
        <v>7.2666666666666666</v>
      </c>
      <c r="L26" s="627">
        <v>5.0000000000000001E-3</v>
      </c>
      <c r="M26" s="628">
        <f>M25</f>
        <v>9.9000000000000001E-6</v>
      </c>
      <c r="Q26" s="1202"/>
      <c r="R26" s="1201" t="s">
        <v>610</v>
      </c>
      <c r="S26" s="1201" t="s">
        <v>611</v>
      </c>
      <c r="T26" s="1201" t="s">
        <v>612</v>
      </c>
      <c r="U26" s="1201" t="s">
        <v>613</v>
      </c>
      <c r="V26" s="1201" t="s">
        <v>614</v>
      </c>
      <c r="W26" s="1203" t="s">
        <v>615</v>
      </c>
      <c r="X26" s="549"/>
      <c r="Y26" s="579"/>
      <c r="Z26" s="579"/>
      <c r="AA26" s="579"/>
      <c r="AB26" s="579"/>
      <c r="AC26" s="579"/>
      <c r="AD26" s="545"/>
      <c r="AV26" s="545"/>
      <c r="BE26" s="545"/>
      <c r="BF26" s="545"/>
    </row>
    <row r="27" spans="1:58" ht="38.1" customHeight="1" thickBot="1" x14ac:dyDescent="0.25">
      <c r="A27" s="610"/>
      <c r="B27" s="545"/>
      <c r="C27" s="566"/>
      <c r="D27" s="566"/>
      <c r="E27" s="566"/>
      <c r="F27" s="566"/>
      <c r="G27" s="566"/>
      <c r="H27" s="566"/>
      <c r="I27" s="566"/>
      <c r="J27" s="566"/>
      <c r="K27" s="609"/>
      <c r="L27" s="566"/>
      <c r="M27" s="566"/>
      <c r="N27" s="566"/>
      <c r="O27" s="552"/>
      <c r="P27" s="552"/>
      <c r="Q27" s="1204" t="s">
        <v>601</v>
      </c>
      <c r="R27" s="1052" t="e">
        <f>'Máx. y Mín. %'!D11</f>
        <v>#N/A</v>
      </c>
      <c r="S27" s="1052" t="e">
        <f>'Máx. y Mín. %'!D12</f>
        <v>#N/A</v>
      </c>
      <c r="T27" s="1052" t="e">
        <f>'Máx. y Mín. %'!E11</f>
        <v>#N/A</v>
      </c>
      <c r="U27" s="1052" t="e">
        <f>'Máx. y Mín. %'!E12</f>
        <v>#N/A</v>
      </c>
      <c r="V27" s="1052" t="e">
        <f>'Máx. y Mín. %'!F11</f>
        <v>#N/A</v>
      </c>
      <c r="W27" s="1053" t="e">
        <f>'Máx. y Mín. %'!F12</f>
        <v>#N/A</v>
      </c>
      <c r="X27" s="549"/>
      <c r="AB27" s="579"/>
      <c r="AC27" s="579"/>
      <c r="AD27" s="545"/>
      <c r="AV27" s="545"/>
      <c r="BE27" s="545"/>
      <c r="BF27" s="545"/>
    </row>
    <row r="28" spans="1:58" ht="50.45" customHeight="1" thickBot="1" x14ac:dyDescent="0.25">
      <c r="A28" s="610"/>
      <c r="B28" s="1437" t="s">
        <v>319</v>
      </c>
      <c r="C28" s="1475"/>
      <c r="D28" s="1475"/>
      <c r="E28" s="1475"/>
      <c r="F28" s="1475"/>
      <c r="G28" s="1475"/>
      <c r="H28" s="1475"/>
      <c r="I28" s="1475"/>
      <c r="J28" s="1475"/>
      <c r="K28" s="1475"/>
      <c r="L28" s="1475"/>
      <c r="M28" s="1475"/>
      <c r="N28" s="1475"/>
      <c r="O28" s="1476"/>
      <c r="Q28" s="1205" t="s">
        <v>602</v>
      </c>
      <c r="R28" s="1206" t="e">
        <f>'Máx. y Mín. %'!J11</f>
        <v>#N/A</v>
      </c>
      <c r="S28" s="1054" t="e">
        <f>'Máx. y Mín. %'!J12</f>
        <v>#N/A</v>
      </c>
      <c r="T28" s="1207" t="e">
        <f>'Máx. y Mín. %'!K11</f>
        <v>#N/A</v>
      </c>
      <c r="U28" s="1207" t="e">
        <f>'Máx. y Mín. %'!K12</f>
        <v>#N/A</v>
      </c>
      <c r="V28" s="1207" t="e">
        <f>'Máx. y Mín. %'!L11</f>
        <v>#N/A</v>
      </c>
      <c r="W28" s="1208" t="e">
        <f>'Máx. y Mín. %'!L12</f>
        <v>#N/A</v>
      </c>
      <c r="X28" s="549"/>
      <c r="AB28" s="579"/>
      <c r="AC28" s="579"/>
      <c r="AD28" s="545"/>
      <c r="AV28" s="545"/>
    </row>
    <row r="29" spans="1:58" ht="60" customHeight="1" thickBot="1" x14ac:dyDescent="0.25">
      <c r="A29" s="610"/>
      <c r="B29" s="1575" t="s">
        <v>354</v>
      </c>
      <c r="C29" s="542" t="s">
        <v>353</v>
      </c>
      <c r="D29" s="95" t="s">
        <v>35</v>
      </c>
      <c r="E29" s="95" t="s">
        <v>228</v>
      </c>
      <c r="F29" s="95" t="s">
        <v>227</v>
      </c>
      <c r="G29" s="95" t="s">
        <v>156</v>
      </c>
      <c r="H29" s="95" t="s">
        <v>199</v>
      </c>
      <c r="I29" s="95" t="s">
        <v>154</v>
      </c>
      <c r="J29" s="95" t="s">
        <v>200</v>
      </c>
      <c r="K29" s="629" t="s">
        <v>155</v>
      </c>
      <c r="L29" s="95" t="s">
        <v>238</v>
      </c>
      <c r="M29" s="95" t="s">
        <v>473</v>
      </c>
      <c r="N29" s="95" t="s">
        <v>474</v>
      </c>
      <c r="O29" s="630" t="s">
        <v>462</v>
      </c>
      <c r="R29" s="552"/>
      <c r="S29" s="631"/>
      <c r="T29" s="631"/>
      <c r="U29" s="631"/>
      <c r="V29" s="596"/>
      <c r="X29" s="549"/>
      <c r="AB29" s="579"/>
      <c r="AC29" s="579"/>
      <c r="AD29" s="545"/>
      <c r="AV29" s="545"/>
    </row>
    <row r="30" spans="1:58" ht="30" customHeight="1" thickBot="1" x14ac:dyDescent="0.25">
      <c r="A30" s="610"/>
      <c r="B30" s="1478"/>
      <c r="C30" s="1012"/>
      <c r="D30" s="1013"/>
      <c r="E30" s="754"/>
      <c r="F30" s="754"/>
      <c r="G30" s="754"/>
      <c r="H30" s="754"/>
      <c r="I30" s="754"/>
      <c r="J30" s="754"/>
      <c r="K30" s="1014"/>
      <c r="L30" s="1013"/>
      <c r="M30" s="1013"/>
      <c r="N30" s="1015"/>
      <c r="O30" s="1016"/>
      <c r="Q30" s="552"/>
      <c r="R30" s="552"/>
      <c r="S30" s="1436"/>
      <c r="T30" s="1580"/>
      <c r="U30" s="635"/>
      <c r="V30" s="1613"/>
      <c r="X30" s="549"/>
      <c r="AV30" s="545"/>
    </row>
    <row r="31" spans="1:58" ht="30" customHeight="1" x14ac:dyDescent="0.2">
      <c r="A31" s="610"/>
      <c r="B31" s="1576"/>
      <c r="C31" s="636" t="str">
        <f>B25</f>
        <v>V-005</v>
      </c>
      <c r="D31" s="616" t="str">
        <f>C25</f>
        <v>Serhapin test Measure</v>
      </c>
      <c r="E31" s="616" t="str">
        <f>E25</f>
        <v xml:space="preserve">16-5935702    C-I V-005         </v>
      </c>
      <c r="F31" s="1008">
        <v>18925.5</v>
      </c>
      <c r="G31" s="618">
        <f>H25</f>
        <v>4.0967700000000002</v>
      </c>
      <c r="H31" s="1003">
        <f>'RT03-F11 %'!M30-'DATOS %'!F31</f>
        <v>1.555000000000291</v>
      </c>
      <c r="I31" s="870">
        <v>2.2000000000000002</v>
      </c>
      <c r="J31" s="1003">
        <v>2.0499999999999998</v>
      </c>
      <c r="K31" s="858">
        <v>44182</v>
      </c>
      <c r="L31" s="1005" t="s">
        <v>587</v>
      </c>
      <c r="M31" s="1006">
        <f>F31/1000</f>
        <v>18.9255</v>
      </c>
      <c r="N31" s="638">
        <v>18.926469999999998</v>
      </c>
      <c r="O31" s="1004">
        <f>(M31-N31)*1000</f>
        <v>-0.96999999999880515</v>
      </c>
      <c r="Q31" s="552"/>
      <c r="R31" s="552"/>
      <c r="S31" s="1436"/>
      <c r="T31" s="1580"/>
      <c r="U31" s="639"/>
      <c r="V31" s="1613"/>
      <c r="AV31" s="545"/>
      <c r="BF31" s="640"/>
    </row>
    <row r="32" spans="1:58" ht="30" customHeight="1" thickBot="1" x14ac:dyDescent="0.25">
      <c r="A32" s="610"/>
      <c r="B32" s="1576"/>
      <c r="C32" s="641" t="str">
        <f>B26</f>
        <v>V-001</v>
      </c>
      <c r="D32" s="622" t="str">
        <f>C26</f>
        <v>Serhapin test Measure</v>
      </c>
      <c r="E32" s="622" t="str">
        <f>E26</f>
        <v>14-92812 C-I V-001</v>
      </c>
      <c r="F32" s="1007">
        <v>18933.8737416</v>
      </c>
      <c r="G32" s="626">
        <f>H26</f>
        <v>8.1935000000000002</v>
      </c>
      <c r="H32" s="884">
        <f>'RT03-F11 %'!M31-'DATOS %'!F32</f>
        <v>-6.8187416000000667</v>
      </c>
      <c r="I32" s="884">
        <v>3.03</v>
      </c>
      <c r="J32" s="1007">
        <v>2.0169999999999999</v>
      </c>
      <c r="K32" s="860">
        <v>44140</v>
      </c>
      <c r="L32" s="1010" t="s">
        <v>588</v>
      </c>
      <c r="M32" s="1182">
        <f>F32/1000</f>
        <v>18.933873741599999</v>
      </c>
      <c r="N32" s="657">
        <v>18.933039999999998</v>
      </c>
      <c r="O32" s="1011">
        <f>(M32-N32)*1000</f>
        <v>0.8337416000010478</v>
      </c>
      <c r="Q32" s="552"/>
      <c r="R32" s="552"/>
      <c r="S32" s="1580"/>
      <c r="T32" s="1580"/>
      <c r="U32" s="1580"/>
      <c r="V32" s="1580"/>
      <c r="AV32" s="545"/>
    </row>
    <row r="33" spans="1:58" ht="30" customHeight="1" x14ac:dyDescent="0.2">
      <c r="A33" s="610"/>
      <c r="B33" s="643"/>
      <c r="C33" s="605"/>
      <c r="D33" s="545"/>
      <c r="E33" s="605"/>
      <c r="F33" s="644"/>
      <c r="G33" s="605"/>
      <c r="H33" s="644"/>
      <c r="I33" s="605"/>
      <c r="J33" s="605"/>
      <c r="K33" s="1009"/>
      <c r="L33" s="545"/>
      <c r="M33" s="566"/>
      <c r="N33" s="566"/>
      <c r="Q33" s="552"/>
      <c r="R33" s="552"/>
      <c r="S33" s="596"/>
      <c r="T33" s="645"/>
      <c r="U33" s="596"/>
      <c r="V33" s="596"/>
      <c r="AV33" s="545"/>
      <c r="BF33" s="567"/>
    </row>
    <row r="34" spans="1:58" ht="30" customHeight="1" thickBot="1" x14ac:dyDescent="0.25">
      <c r="A34" s="610"/>
      <c r="B34" s="545"/>
      <c r="C34" s="545"/>
      <c r="D34" s="545"/>
      <c r="E34" s="545"/>
      <c r="F34" s="1184"/>
      <c r="G34" s="545"/>
      <c r="H34" s="545"/>
      <c r="I34" s="545"/>
      <c r="J34" s="545"/>
      <c r="K34" s="612"/>
      <c r="L34" s="545"/>
      <c r="M34" s="566"/>
      <c r="N34" s="566"/>
      <c r="Q34" s="552"/>
      <c r="R34" s="552"/>
      <c r="S34" s="596"/>
      <c r="T34" s="596"/>
      <c r="U34" s="596"/>
      <c r="V34" s="596"/>
      <c r="AV34" s="545"/>
      <c r="BF34" s="567"/>
    </row>
    <row r="35" spans="1:58" ht="30" customHeight="1" thickBot="1" x14ac:dyDescent="0.25">
      <c r="A35" s="610"/>
      <c r="B35" s="1553" t="s">
        <v>168</v>
      </c>
      <c r="C35" s="1554"/>
      <c r="D35" s="1554"/>
      <c r="E35" s="1554"/>
      <c r="F35" s="1554"/>
      <c r="G35" s="1554"/>
      <c r="H35" s="1554"/>
      <c r="I35" s="1554"/>
      <c r="J35" s="1554"/>
      <c r="K35" s="1554"/>
      <c r="L35" s="1554"/>
      <c r="M35" s="1554"/>
      <c r="N35" s="1554"/>
      <c r="O35" s="1554"/>
      <c r="P35" s="1554"/>
      <c r="Q35" s="1554"/>
      <c r="R35" s="1555"/>
      <c r="AV35" s="545"/>
      <c r="BF35" s="567"/>
    </row>
    <row r="36" spans="1:58" ht="60" customHeight="1" thickBot="1" x14ac:dyDescent="0.25">
      <c r="A36" s="610"/>
      <c r="B36" s="545"/>
      <c r="C36" s="605"/>
      <c r="D36" s="646" t="s">
        <v>35</v>
      </c>
      <c r="E36" s="537" t="s">
        <v>228</v>
      </c>
      <c r="F36" s="537" t="s">
        <v>480</v>
      </c>
      <c r="G36" s="537" t="s">
        <v>156</v>
      </c>
      <c r="H36" s="537" t="s">
        <v>199</v>
      </c>
      <c r="I36" s="537" t="s">
        <v>154</v>
      </c>
      <c r="J36" s="537" t="s">
        <v>200</v>
      </c>
      <c r="K36" s="647" t="s">
        <v>155</v>
      </c>
      <c r="L36" s="537" t="s">
        <v>238</v>
      </c>
      <c r="M36" s="537" t="s">
        <v>441</v>
      </c>
      <c r="N36" s="537" t="s">
        <v>442</v>
      </c>
      <c r="O36" s="537" t="s">
        <v>481</v>
      </c>
      <c r="P36" s="537" t="s">
        <v>435</v>
      </c>
      <c r="Q36" s="537" t="s">
        <v>436</v>
      </c>
      <c r="R36" s="648" t="s">
        <v>437</v>
      </c>
      <c r="AV36" s="545"/>
      <c r="BF36" s="567"/>
    </row>
    <row r="37" spans="1:58" ht="45" customHeight="1" thickBot="1" x14ac:dyDescent="0.25">
      <c r="A37" s="610"/>
      <c r="B37" s="545"/>
      <c r="C37" s="545"/>
      <c r="D37" s="605"/>
      <c r="E37" s="605"/>
      <c r="F37" s="605"/>
      <c r="G37" s="605"/>
      <c r="H37" s="605"/>
      <c r="I37" s="605"/>
      <c r="J37" s="605"/>
      <c r="K37" s="649"/>
      <c r="L37" s="545"/>
      <c r="M37" s="566"/>
      <c r="N37" s="566"/>
      <c r="AV37" s="545"/>
      <c r="BF37" s="567"/>
    </row>
    <row r="38" spans="1:58" ht="33.950000000000003" customHeight="1" x14ac:dyDescent="0.2">
      <c r="A38" s="610"/>
      <c r="B38" s="1577" t="s">
        <v>355</v>
      </c>
      <c r="C38" s="710" t="s">
        <v>257</v>
      </c>
      <c r="D38" s="1558" t="s">
        <v>237</v>
      </c>
      <c r="E38" s="772" t="s">
        <v>184</v>
      </c>
      <c r="F38" s="661">
        <v>14.068</v>
      </c>
      <c r="G38" s="618">
        <v>1E-3</v>
      </c>
      <c r="H38" s="638">
        <v>-5.3999999999999999E-2</v>
      </c>
      <c r="I38" s="638">
        <v>4.3999999999999997E-2</v>
      </c>
      <c r="J38" s="637">
        <v>2</v>
      </c>
      <c r="K38" s="858">
        <v>43927</v>
      </c>
      <c r="L38" s="1572" t="s">
        <v>565</v>
      </c>
      <c r="M38" s="773">
        <f>SLOPE($H$38:$H$42,$F$38:$F$42)</f>
        <v>-1.6417733121688095E-3</v>
      </c>
      <c r="N38" s="651">
        <f>INTERCEPT($H$38:$H$42,$F$38:$F$42)</f>
        <v>-3.0920518719047937E-2</v>
      </c>
      <c r="O38" s="616">
        <v>14</v>
      </c>
      <c r="P38" s="661">
        <f>F38</f>
        <v>14.068</v>
      </c>
      <c r="Q38" s="638">
        <v>14.064</v>
      </c>
      <c r="R38" s="652">
        <f>P38-Q38</f>
        <v>3.9999999999995595E-3</v>
      </c>
      <c r="AV38" s="545"/>
      <c r="BF38" s="567"/>
    </row>
    <row r="39" spans="1:58" ht="33.950000000000003" customHeight="1" thickBot="1" x14ac:dyDescent="0.25">
      <c r="A39" s="610"/>
      <c r="B39" s="1578"/>
      <c r="C39" s="715" t="s">
        <v>258</v>
      </c>
      <c r="D39" s="1559"/>
      <c r="E39" s="768" t="s">
        <v>184</v>
      </c>
      <c r="F39" s="662">
        <v>16.07</v>
      </c>
      <c r="G39" s="569">
        <v>1E-3</v>
      </c>
      <c r="H39" s="655">
        <v>-5.7000000000000002E-2</v>
      </c>
      <c r="I39" s="655">
        <v>4.3999999999999997E-2</v>
      </c>
      <c r="J39" s="654">
        <v>2</v>
      </c>
      <c r="K39" s="859">
        <v>43927</v>
      </c>
      <c r="L39" s="1573"/>
      <c r="M39" s="769">
        <f>SLOPE($H$38:$H$42,$F$38:$F$42)</f>
        <v>-1.6417733121688095E-3</v>
      </c>
      <c r="N39" s="653">
        <f>INTERCEPT($H$38:$H$42,$F$38:$F$42)</f>
        <v>-3.0920518719047937E-2</v>
      </c>
      <c r="O39" s="570">
        <v>16</v>
      </c>
      <c r="P39" s="662">
        <f t="shared" ref="P39:P42" si="0">F39</f>
        <v>16.07</v>
      </c>
      <c r="Q39" s="655">
        <v>16.068000000000001</v>
      </c>
      <c r="R39" s="656">
        <f>P39-Q39</f>
        <v>1.9999999999988916E-3</v>
      </c>
      <c r="AV39" s="545"/>
      <c r="BF39" s="567"/>
    </row>
    <row r="40" spans="1:58" ht="33.950000000000003" customHeight="1" thickBot="1" x14ac:dyDescent="0.25">
      <c r="A40" s="778" t="s">
        <v>312</v>
      </c>
      <c r="B40" s="1578"/>
      <c r="C40" s="715" t="s">
        <v>259</v>
      </c>
      <c r="D40" s="1559"/>
      <c r="E40" s="768" t="s">
        <v>184</v>
      </c>
      <c r="F40" s="662">
        <v>17.068999999999999</v>
      </c>
      <c r="G40" s="569">
        <v>1E-3</v>
      </c>
      <c r="H40" s="655">
        <v>-5.8999999999999997E-2</v>
      </c>
      <c r="I40" s="655">
        <v>4.3999999999999997E-2</v>
      </c>
      <c r="J40" s="654">
        <v>2</v>
      </c>
      <c r="K40" s="859">
        <v>43927</v>
      </c>
      <c r="L40" s="1573"/>
      <c r="M40" s="770">
        <f>SLOPE($H$38:$H$42,$F$38:$F$42)</f>
        <v>-1.6417733121688095E-3</v>
      </c>
      <c r="N40" s="771">
        <f>INTERCEPT($H$38:$H$42,$F$38:$F$42)</f>
        <v>-3.0920518719047937E-2</v>
      </c>
      <c r="O40" s="569">
        <v>17</v>
      </c>
      <c r="P40" s="662">
        <f t="shared" si="0"/>
        <v>17.068999999999999</v>
      </c>
      <c r="Q40" s="655">
        <v>17.065000000000001</v>
      </c>
      <c r="R40" s="656">
        <f>P40-Q40</f>
        <v>3.9999999999977831E-3</v>
      </c>
      <c r="AV40" s="545"/>
    </row>
    <row r="41" spans="1:58" ht="33.950000000000003" customHeight="1" x14ac:dyDescent="0.2">
      <c r="A41" s="610"/>
      <c r="B41" s="1578"/>
      <c r="C41" s="715" t="s">
        <v>309</v>
      </c>
      <c r="D41" s="1559"/>
      <c r="E41" s="768" t="s">
        <v>184</v>
      </c>
      <c r="F41" s="655">
        <v>18.065999999999999</v>
      </c>
      <c r="G41" s="569">
        <v>1E-3</v>
      </c>
      <c r="H41" s="655">
        <v>-6.0999999999999999E-2</v>
      </c>
      <c r="I41" s="655">
        <v>4.3999999999999997E-2</v>
      </c>
      <c r="J41" s="654">
        <v>2</v>
      </c>
      <c r="K41" s="859">
        <v>43927</v>
      </c>
      <c r="L41" s="1573"/>
      <c r="M41" s="769">
        <f>SLOPE($H$38:$H$42,$F$38:$F$42)</f>
        <v>-1.6417733121688095E-3</v>
      </c>
      <c r="N41" s="653">
        <f>INTERCEPT($H$38:$H$42,$F$38:$F$42)</f>
        <v>-3.0920518719047937E-2</v>
      </c>
      <c r="O41" s="569">
        <v>18</v>
      </c>
      <c r="P41" s="662">
        <f t="shared" si="0"/>
        <v>18.065999999999999</v>
      </c>
      <c r="Q41" s="655">
        <v>18.064</v>
      </c>
      <c r="R41" s="656">
        <f>P41-Q41</f>
        <v>1.9999999999988916E-3</v>
      </c>
      <c r="AB41" s="579"/>
      <c r="AC41" s="579"/>
      <c r="AD41" s="545"/>
      <c r="AV41" s="545"/>
    </row>
    <row r="42" spans="1:58" ht="33.950000000000003" customHeight="1" thickBot="1" x14ac:dyDescent="0.25">
      <c r="A42" s="610"/>
      <c r="B42" s="1579"/>
      <c r="C42" s="727" t="s">
        <v>310</v>
      </c>
      <c r="D42" s="1560"/>
      <c r="E42" s="774" t="s">
        <v>184</v>
      </c>
      <c r="F42" s="657">
        <v>22.07</v>
      </c>
      <c r="G42" s="626">
        <v>1E-3</v>
      </c>
      <c r="H42" s="657">
        <v>-6.7000000000000004E-2</v>
      </c>
      <c r="I42" s="657">
        <v>4.3999999999999997E-2</v>
      </c>
      <c r="J42" s="642">
        <v>2</v>
      </c>
      <c r="K42" s="860">
        <v>43927</v>
      </c>
      <c r="L42" s="1574"/>
      <c r="M42" s="775">
        <f>SLOPE($H$38:$H$42,$F$38:$F$42)</f>
        <v>-1.6417733121688095E-3</v>
      </c>
      <c r="N42" s="776">
        <f>INTERCEPT($H$38:$H$42,$F$38:$F$42)</f>
        <v>-3.0920518719047937E-2</v>
      </c>
      <c r="O42" s="626">
        <v>22</v>
      </c>
      <c r="P42" s="777">
        <f t="shared" si="0"/>
        <v>22.07</v>
      </c>
      <c r="Q42" s="657">
        <v>22.067</v>
      </c>
      <c r="R42" s="658">
        <f>P42-Q42</f>
        <v>3.0000000000001137E-3</v>
      </c>
      <c r="S42" s="566"/>
      <c r="T42" s="659"/>
      <c r="U42" s="659"/>
      <c r="V42" s="659"/>
      <c r="AB42" s="579"/>
      <c r="AC42" s="579"/>
      <c r="AD42" s="545"/>
      <c r="AV42" s="545"/>
    </row>
    <row r="43" spans="1:58" ht="42" customHeight="1" thickBot="1" x14ac:dyDescent="0.25">
      <c r="A43" s="610"/>
      <c r="B43" s="607"/>
      <c r="C43" s="605"/>
      <c r="D43" s="545"/>
      <c r="E43" s="780"/>
      <c r="F43" s="781"/>
      <c r="G43" s="605"/>
      <c r="H43" s="605"/>
      <c r="I43" s="605"/>
      <c r="J43" s="605"/>
      <c r="K43" s="649"/>
      <c r="L43" s="596"/>
      <c r="M43" s="596"/>
      <c r="N43" s="596"/>
      <c r="O43" s="545"/>
      <c r="P43" s="545"/>
      <c r="Q43" s="545"/>
      <c r="R43" s="760"/>
      <c r="S43" s="631"/>
      <c r="T43" s="631"/>
      <c r="U43" s="631"/>
      <c r="V43" s="596"/>
      <c r="W43" s="549"/>
      <c r="AB43" s="579"/>
      <c r="AC43" s="579"/>
      <c r="AD43" s="545"/>
      <c r="AV43" s="545"/>
    </row>
    <row r="44" spans="1:58" ht="33.950000000000003" customHeight="1" x14ac:dyDescent="0.2">
      <c r="A44" s="610"/>
      <c r="B44" s="1593" t="s">
        <v>356</v>
      </c>
      <c r="C44" s="616" t="s">
        <v>484</v>
      </c>
      <c r="D44" s="1558" t="s">
        <v>237</v>
      </c>
      <c r="E44" s="772" t="s">
        <v>185</v>
      </c>
      <c r="F44" s="661">
        <v>14.031000000000001</v>
      </c>
      <c r="G44" s="618">
        <v>1E-3</v>
      </c>
      <c r="H44" s="638">
        <v>-1.7000000000000001E-2</v>
      </c>
      <c r="I44" s="638">
        <v>4.3999999999999997E-2</v>
      </c>
      <c r="J44" s="637">
        <v>2</v>
      </c>
      <c r="K44" s="858">
        <v>43927</v>
      </c>
      <c r="L44" s="1572" t="s">
        <v>566</v>
      </c>
      <c r="M44" s="773">
        <f>SLOPE($H$44:$H$48,$F$44:$F$48)</f>
        <v>-1.2274789092155522E-3</v>
      </c>
      <c r="N44" s="773">
        <f>INTERCEPT($H$44:$H$48,$F$44:$F$48)</f>
        <v>-3.8151334637095968E-6</v>
      </c>
      <c r="O44" s="616">
        <v>14</v>
      </c>
      <c r="P44" s="661">
        <f>F44</f>
        <v>14.031000000000001</v>
      </c>
      <c r="Q44" s="661">
        <v>14.028</v>
      </c>
      <c r="R44" s="652">
        <f>P44-Q44</f>
        <v>3.0000000000001137E-3</v>
      </c>
      <c r="W44" s="549"/>
      <c r="AB44" s="579"/>
      <c r="AC44" s="579"/>
      <c r="AD44" s="545"/>
      <c r="AV44" s="545"/>
    </row>
    <row r="45" spans="1:58" ht="33.950000000000003" customHeight="1" thickBot="1" x14ac:dyDescent="0.25">
      <c r="A45" s="610"/>
      <c r="B45" s="1594"/>
      <c r="C45" s="570" t="s">
        <v>485</v>
      </c>
      <c r="D45" s="1559"/>
      <c r="E45" s="768" t="s">
        <v>185</v>
      </c>
      <c r="F45" s="662">
        <v>16.033000000000001</v>
      </c>
      <c r="G45" s="569">
        <v>1E-3</v>
      </c>
      <c r="H45" s="662">
        <v>-0.02</v>
      </c>
      <c r="I45" s="655">
        <v>4.3999999999999997E-2</v>
      </c>
      <c r="J45" s="654">
        <v>2</v>
      </c>
      <c r="K45" s="859">
        <v>43927</v>
      </c>
      <c r="L45" s="1573"/>
      <c r="M45" s="769">
        <f>SLOPE($H$44:$H$48,$F$44:$F$48)</f>
        <v>-1.2274789092155522E-3</v>
      </c>
      <c r="N45" s="769">
        <f>INTERCEPT($H$44:$H$48,$F$44:$F$48)</f>
        <v>-3.8151334637095968E-6</v>
      </c>
      <c r="O45" s="570">
        <v>16</v>
      </c>
      <c r="P45" s="662">
        <f t="shared" ref="P45:P48" si="1">F45</f>
        <v>16.033000000000001</v>
      </c>
      <c r="Q45" s="662">
        <v>16.03</v>
      </c>
      <c r="R45" s="656">
        <f>P45-Q45</f>
        <v>3.0000000000001137E-3</v>
      </c>
      <c r="W45" s="549"/>
      <c r="AB45" s="579"/>
      <c r="AC45" s="579"/>
      <c r="AD45" s="545"/>
      <c r="AV45" s="545"/>
    </row>
    <row r="46" spans="1:58" ht="33.950000000000003" customHeight="1" thickBot="1" x14ac:dyDescent="0.25">
      <c r="A46" s="779" t="s">
        <v>311</v>
      </c>
      <c r="B46" s="1594"/>
      <c r="C46" s="570" t="s">
        <v>486</v>
      </c>
      <c r="D46" s="1559"/>
      <c r="E46" s="768" t="s">
        <v>185</v>
      </c>
      <c r="F46" s="662">
        <v>17.032</v>
      </c>
      <c r="G46" s="569">
        <v>1E-3</v>
      </c>
      <c r="H46" s="662">
        <v>-2.1000000000000001E-2</v>
      </c>
      <c r="I46" s="655">
        <v>4.3999999999999997E-2</v>
      </c>
      <c r="J46" s="654">
        <v>2</v>
      </c>
      <c r="K46" s="859">
        <v>43927</v>
      </c>
      <c r="L46" s="1573"/>
      <c r="M46" s="770">
        <f>SLOPE($H$44:$H$48,$F$44:$F$48)</f>
        <v>-1.2274789092155522E-3</v>
      </c>
      <c r="N46" s="770">
        <f>INTERCEPT($H$44:$H$48,$F$44:$F$48)</f>
        <v>-3.8151334637095968E-6</v>
      </c>
      <c r="O46" s="569">
        <v>17</v>
      </c>
      <c r="P46" s="662">
        <f t="shared" si="1"/>
        <v>17.032</v>
      </c>
      <c r="Q46" s="662">
        <v>17.027999999999999</v>
      </c>
      <c r="R46" s="656">
        <f>P46-Q46</f>
        <v>4.0000000000013358E-3</v>
      </c>
      <c r="W46" s="549"/>
      <c r="AB46" s="579"/>
      <c r="AC46" s="579"/>
      <c r="AD46" s="545"/>
      <c r="AV46" s="545"/>
    </row>
    <row r="47" spans="1:58" ht="33.950000000000003" customHeight="1" x14ac:dyDescent="0.2">
      <c r="A47" s="610"/>
      <c r="B47" s="1594"/>
      <c r="C47" s="570" t="s">
        <v>487</v>
      </c>
      <c r="D47" s="1559"/>
      <c r="E47" s="768" t="s">
        <v>186</v>
      </c>
      <c r="F47" s="655">
        <v>18.027999999999999</v>
      </c>
      <c r="G47" s="569">
        <v>1E-3</v>
      </c>
      <c r="H47" s="655">
        <v>-2.1999999999999999E-2</v>
      </c>
      <c r="I47" s="655">
        <v>4.3999999999999997E-2</v>
      </c>
      <c r="J47" s="654">
        <v>2</v>
      </c>
      <c r="K47" s="859">
        <v>43927</v>
      </c>
      <c r="L47" s="1573"/>
      <c r="M47" s="769">
        <f>SLOPE($H$44:$H$48,$F$44:$F$48)</f>
        <v>-1.2274789092155522E-3</v>
      </c>
      <c r="N47" s="769">
        <f>INTERCEPT($H$44:$H$48,$F$44:$F$48)</f>
        <v>-3.8151334637095968E-6</v>
      </c>
      <c r="O47" s="569">
        <v>18</v>
      </c>
      <c r="P47" s="662">
        <f t="shared" si="1"/>
        <v>18.027999999999999</v>
      </c>
      <c r="Q47" s="655">
        <v>18.026</v>
      </c>
      <c r="R47" s="656">
        <f>P47-Q47</f>
        <v>1.9999999999988916E-3</v>
      </c>
      <c r="W47" s="549"/>
      <c r="AB47" s="579"/>
      <c r="AC47" s="579"/>
      <c r="AD47" s="545"/>
      <c r="AV47" s="545"/>
    </row>
    <row r="48" spans="1:58" ht="33.950000000000003" customHeight="1" thickBot="1" x14ac:dyDescent="0.25">
      <c r="A48" s="610"/>
      <c r="B48" s="1595"/>
      <c r="C48" s="622" t="s">
        <v>488</v>
      </c>
      <c r="D48" s="1560"/>
      <c r="E48" s="774" t="s">
        <v>185</v>
      </c>
      <c r="F48" s="657">
        <v>22.030999999999999</v>
      </c>
      <c r="G48" s="626">
        <v>1E-3</v>
      </c>
      <c r="H48" s="657">
        <v>-2.7E-2</v>
      </c>
      <c r="I48" s="657">
        <v>4.3999999999999997E-2</v>
      </c>
      <c r="J48" s="642">
        <v>2</v>
      </c>
      <c r="K48" s="860">
        <v>43927</v>
      </c>
      <c r="L48" s="1574"/>
      <c r="M48" s="775">
        <f>SLOPE($H$44:$H$48,$F$44:$F$48)</f>
        <v>-1.2274789092155522E-3</v>
      </c>
      <c r="N48" s="775">
        <f>INTERCEPT($H$44:$H$48,$F$44:$F$48)</f>
        <v>-3.8151334637095968E-6</v>
      </c>
      <c r="O48" s="626">
        <v>22</v>
      </c>
      <c r="P48" s="777">
        <f t="shared" si="1"/>
        <v>22.030999999999999</v>
      </c>
      <c r="Q48" s="657">
        <v>22.027999999999999</v>
      </c>
      <c r="R48" s="658">
        <f>P48-Q48</f>
        <v>3.0000000000001137E-3</v>
      </c>
      <c r="W48" s="579"/>
      <c r="X48" s="549"/>
      <c r="Y48" s="549"/>
      <c r="Z48" s="549"/>
      <c r="AB48" s="579"/>
      <c r="AC48" s="579"/>
      <c r="AD48" s="545"/>
      <c r="AV48" s="545"/>
    </row>
    <row r="49" spans="1:58" ht="30" customHeight="1" x14ac:dyDescent="0.2">
      <c r="A49" s="610"/>
      <c r="H49" s="663"/>
      <c r="Q49" s="578"/>
      <c r="R49" s="579"/>
      <c r="T49" s="659"/>
      <c r="U49" s="596"/>
      <c r="V49" s="596"/>
      <c r="W49" s="579"/>
      <c r="X49" s="549"/>
      <c r="Y49" s="549"/>
      <c r="Z49" s="549"/>
      <c r="AB49" s="579"/>
      <c r="AC49" s="579"/>
      <c r="AD49" s="545"/>
      <c r="AV49" s="545"/>
    </row>
    <row r="50" spans="1:58" ht="30" customHeight="1" thickBot="1" x14ac:dyDescent="0.25">
      <c r="A50" s="610"/>
      <c r="B50" s="545"/>
      <c r="C50" s="545"/>
      <c r="D50" s="545"/>
      <c r="E50" s="545"/>
      <c r="F50" s="545"/>
      <c r="G50" s="545"/>
      <c r="H50" s="545"/>
      <c r="I50" s="545"/>
      <c r="J50" s="545"/>
      <c r="K50" s="612"/>
      <c r="L50" s="545"/>
      <c r="M50" s="566"/>
      <c r="Q50" s="578"/>
      <c r="R50" s="579"/>
      <c r="T50" s="549"/>
      <c r="U50" s="549"/>
      <c r="V50" s="549"/>
      <c r="W50" s="579"/>
      <c r="X50" s="549"/>
      <c r="Y50" s="549"/>
      <c r="Z50" s="549"/>
      <c r="AA50" s="579"/>
      <c r="AB50" s="579"/>
      <c r="AC50" s="579"/>
      <c r="AD50" s="545"/>
      <c r="AV50" s="545"/>
    </row>
    <row r="51" spans="1:58" ht="30" customHeight="1" x14ac:dyDescent="0.2">
      <c r="A51" s="610"/>
      <c r="B51" s="545"/>
      <c r="C51" s="1606" t="s">
        <v>278</v>
      </c>
      <c r="D51" s="1475"/>
      <c r="E51" s="1475"/>
      <c r="F51" s="1475"/>
      <c r="G51" s="1475"/>
      <c r="H51" s="1475"/>
      <c r="I51" s="1475"/>
      <c r="J51" s="1475"/>
      <c r="K51" s="1475"/>
      <c r="L51" s="1475"/>
      <c r="M51" s="1475"/>
      <c r="N51" s="1475"/>
      <c r="O51" s="1475"/>
      <c r="P51" s="1475"/>
      <c r="Q51" s="1475"/>
      <c r="R51" s="1475"/>
      <c r="S51" s="1475"/>
      <c r="T51" s="1476"/>
      <c r="U51" s="579"/>
      <c r="V51" s="579"/>
      <c r="W51" s="579"/>
      <c r="X51" s="579"/>
      <c r="Y51" s="579"/>
      <c r="Z51" s="579"/>
      <c r="AA51" s="579"/>
      <c r="AB51" s="579"/>
      <c r="AC51" s="579"/>
      <c r="AD51" s="545"/>
      <c r="AV51" s="545"/>
    </row>
    <row r="52" spans="1:58" ht="30" customHeight="1" thickBot="1" x14ac:dyDescent="0.25">
      <c r="A52" s="610"/>
      <c r="B52" s="545"/>
      <c r="C52" s="1607"/>
      <c r="D52" s="1608"/>
      <c r="E52" s="1608"/>
      <c r="F52" s="1608"/>
      <c r="G52" s="1608"/>
      <c r="H52" s="1608"/>
      <c r="I52" s="1608"/>
      <c r="J52" s="1608"/>
      <c r="K52" s="1608"/>
      <c r="L52" s="1608"/>
      <c r="M52" s="1608"/>
      <c r="N52" s="1608"/>
      <c r="O52" s="1608"/>
      <c r="P52" s="1608"/>
      <c r="Q52" s="1608"/>
      <c r="R52" s="1608"/>
      <c r="S52" s="1608"/>
      <c r="T52" s="1609"/>
      <c r="U52" s="579"/>
      <c r="V52" s="579"/>
      <c r="W52" s="579"/>
      <c r="X52" s="579"/>
      <c r="Y52" s="579"/>
      <c r="Z52" s="579"/>
      <c r="AA52" s="579"/>
      <c r="AB52" s="579"/>
      <c r="AC52" s="579"/>
      <c r="AD52" s="545"/>
      <c r="AV52" s="545"/>
    </row>
    <row r="53" spans="1:58" ht="30" customHeight="1" thickBot="1" x14ac:dyDescent="0.25">
      <c r="A53" s="610"/>
      <c r="B53" s="545"/>
      <c r="C53" s="1437" t="s">
        <v>564</v>
      </c>
      <c r="D53" s="1438"/>
      <c r="E53" s="1438"/>
      <c r="F53" s="1438"/>
      <c r="G53" s="1438"/>
      <c r="H53" s="1438"/>
      <c r="I53" s="1438"/>
      <c r="J53" s="1438"/>
      <c r="K53" s="1438"/>
      <c r="L53" s="1438"/>
      <c r="M53" s="1438"/>
      <c r="N53" s="1438"/>
      <c r="O53" s="1438"/>
      <c r="P53" s="1438"/>
      <c r="Q53" s="1438"/>
      <c r="R53" s="1438"/>
      <c r="S53" s="1438"/>
      <c r="T53" s="1439"/>
      <c r="U53" s="579"/>
      <c r="V53" s="579"/>
      <c r="W53" s="579"/>
      <c r="X53" s="579"/>
      <c r="Y53" s="579"/>
      <c r="Z53" s="579"/>
      <c r="AA53" s="579"/>
      <c r="AB53" s="579"/>
      <c r="AC53" s="579"/>
      <c r="AD53" s="545"/>
      <c r="AV53" s="545"/>
      <c r="AW53" s="545"/>
      <c r="AX53" s="545"/>
      <c r="AY53" s="545"/>
      <c r="AZ53" s="545"/>
      <c r="BA53" s="545"/>
      <c r="BB53" s="545"/>
      <c r="BC53" s="545"/>
      <c r="BD53" s="545"/>
      <c r="BE53" s="545"/>
      <c r="BF53" s="545"/>
    </row>
    <row r="54" spans="1:58" ht="54" customHeight="1" thickBot="1" x14ac:dyDescent="0.25">
      <c r="A54" s="610"/>
      <c r="B54" s="545"/>
      <c r="C54" s="605"/>
      <c r="D54" s="664" t="s">
        <v>35</v>
      </c>
      <c r="E54" s="665" t="s">
        <v>228</v>
      </c>
      <c r="F54" s="664" t="s">
        <v>480</v>
      </c>
      <c r="G54" s="664" t="s">
        <v>156</v>
      </c>
      <c r="H54" s="664" t="s">
        <v>199</v>
      </c>
      <c r="I54" s="664" t="s">
        <v>154</v>
      </c>
      <c r="J54" s="664" t="s">
        <v>200</v>
      </c>
      <c r="K54" s="666" t="s">
        <v>155</v>
      </c>
      <c r="L54" s="667" t="s">
        <v>238</v>
      </c>
      <c r="M54" s="566"/>
      <c r="N54" s="566"/>
      <c r="O54" s="1596" t="s">
        <v>281</v>
      </c>
      <c r="P54" s="1598" t="s">
        <v>154</v>
      </c>
      <c r="Q54" s="1599"/>
      <c r="R54" s="1600"/>
      <c r="S54" s="1604" t="s">
        <v>155</v>
      </c>
      <c r="T54" s="1583" t="s">
        <v>238</v>
      </c>
      <c r="U54" s="579"/>
      <c r="V54" s="579"/>
      <c r="W54" s="579"/>
      <c r="X54" s="579"/>
      <c r="Y54" s="579"/>
      <c r="Z54" s="579"/>
      <c r="AA54" s="579"/>
      <c r="AB54" s="579"/>
      <c r="AC54" s="579"/>
      <c r="AD54" s="545"/>
      <c r="AV54" s="545"/>
      <c r="AW54" s="545"/>
      <c r="AX54" s="545"/>
      <c r="AY54" s="545"/>
      <c r="AZ54" s="545"/>
      <c r="BA54" s="545"/>
      <c r="BB54" s="545"/>
      <c r="BC54" s="545"/>
      <c r="BD54" s="545"/>
      <c r="BE54" s="545"/>
      <c r="BF54" s="545"/>
    </row>
    <row r="55" spans="1:58" ht="30" customHeight="1" thickBot="1" x14ac:dyDescent="0.25">
      <c r="A55" s="668"/>
      <c r="B55" s="669"/>
      <c r="C55" s="669"/>
      <c r="D55" s="669"/>
      <c r="E55" s="670"/>
      <c r="F55" s="670"/>
      <c r="G55" s="670"/>
      <c r="H55" s="670"/>
      <c r="I55" s="670"/>
      <c r="J55" s="670"/>
      <c r="K55" s="671"/>
      <c r="L55" s="672"/>
      <c r="M55" s="566"/>
      <c r="N55" s="566"/>
      <c r="O55" s="1597"/>
      <c r="P55" s="1601"/>
      <c r="Q55" s="1602"/>
      <c r="R55" s="1603"/>
      <c r="S55" s="1605"/>
      <c r="T55" s="1584"/>
      <c r="U55" s="579"/>
      <c r="V55" s="579"/>
      <c r="W55" s="579"/>
      <c r="X55" s="579"/>
      <c r="Y55" s="579"/>
      <c r="Z55" s="579"/>
      <c r="AA55" s="579"/>
      <c r="AB55" s="579"/>
      <c r="AC55" s="579"/>
      <c r="AD55" s="545"/>
      <c r="AV55" s="545"/>
      <c r="AW55" s="545"/>
      <c r="AX55" s="545"/>
      <c r="AY55" s="545"/>
      <c r="AZ55" s="545"/>
      <c r="BA55" s="545"/>
      <c r="BB55" s="545"/>
      <c r="BC55" s="545"/>
      <c r="BD55" s="545"/>
      <c r="BE55" s="545"/>
      <c r="BF55" s="545"/>
    </row>
    <row r="56" spans="1:58" ht="30" customHeight="1" thickBot="1" x14ac:dyDescent="0.25">
      <c r="A56" s="1535" t="s">
        <v>27</v>
      </c>
      <c r="B56" s="1585"/>
      <c r="C56" s="1589" t="s">
        <v>279</v>
      </c>
      <c r="D56" s="1590" t="s">
        <v>233</v>
      </c>
      <c r="E56" s="1591" t="s">
        <v>396</v>
      </c>
      <c r="F56" s="869">
        <v>15.3</v>
      </c>
      <c r="G56" s="638">
        <v>0.1</v>
      </c>
      <c r="H56" s="870">
        <v>0</v>
      </c>
      <c r="I56" s="871">
        <v>0.3</v>
      </c>
      <c r="J56" s="1502">
        <v>2</v>
      </c>
      <c r="K56" s="1498">
        <v>44019</v>
      </c>
      <c r="L56" s="1509" t="s">
        <v>537</v>
      </c>
      <c r="M56" s="566"/>
      <c r="N56" s="566"/>
      <c r="O56" s="546"/>
      <c r="P56" s="613"/>
      <c r="Q56" s="613"/>
      <c r="R56" s="613"/>
      <c r="S56" s="632"/>
      <c r="T56" s="634"/>
      <c r="U56" s="579"/>
      <c r="V56" s="579"/>
      <c r="W56" s="579"/>
      <c r="X56" s="579"/>
      <c r="Y56" s="579"/>
      <c r="Z56" s="579"/>
      <c r="AA56" s="579"/>
      <c r="AB56" s="579"/>
      <c r="AC56" s="579"/>
      <c r="AD56" s="545"/>
      <c r="AV56" s="545"/>
      <c r="AW56" s="545"/>
      <c r="AX56" s="545"/>
      <c r="AY56" s="545"/>
      <c r="AZ56" s="545"/>
      <c r="BA56" s="545"/>
      <c r="BB56" s="545"/>
      <c r="BC56" s="545"/>
      <c r="BD56" s="545"/>
      <c r="BE56" s="545"/>
      <c r="BF56" s="545"/>
    </row>
    <row r="57" spans="1:58" ht="30" customHeight="1" x14ac:dyDescent="0.2">
      <c r="A57" s="1586"/>
      <c r="B57" s="1585"/>
      <c r="C57" s="1589"/>
      <c r="D57" s="1590"/>
      <c r="E57" s="1592"/>
      <c r="F57" s="872">
        <v>24.7</v>
      </c>
      <c r="G57" s="873">
        <v>0.1</v>
      </c>
      <c r="H57" s="874">
        <v>0</v>
      </c>
      <c r="I57" s="875">
        <v>0.2</v>
      </c>
      <c r="J57" s="1502"/>
      <c r="K57" s="1498"/>
      <c r="L57" s="1509"/>
      <c r="M57" s="566"/>
      <c r="N57" s="566"/>
      <c r="O57" s="1491" t="s">
        <v>282</v>
      </c>
      <c r="P57" s="971" t="s">
        <v>3</v>
      </c>
      <c r="Q57" s="972" t="s">
        <v>439</v>
      </c>
      <c r="R57" s="972" t="s">
        <v>15</v>
      </c>
      <c r="S57" s="1520" t="s">
        <v>540</v>
      </c>
      <c r="T57" s="1507" t="s">
        <v>541</v>
      </c>
      <c r="U57" s="579"/>
      <c r="V57" s="579"/>
      <c r="W57" s="579"/>
      <c r="X57" s="579"/>
      <c r="Y57" s="579"/>
      <c r="Z57" s="579"/>
      <c r="AA57" s="579"/>
      <c r="AB57" s="579"/>
      <c r="AC57" s="579"/>
      <c r="AD57" s="545"/>
      <c r="AV57" s="545"/>
      <c r="AW57" s="545"/>
      <c r="AX57" s="545"/>
      <c r="AY57" s="545"/>
      <c r="AZ57" s="545"/>
      <c r="BA57" s="545"/>
      <c r="BB57" s="545"/>
      <c r="BC57" s="545"/>
      <c r="BD57" s="545"/>
      <c r="BE57" s="545"/>
      <c r="BF57" s="545"/>
    </row>
    <row r="58" spans="1:58" ht="30" customHeight="1" thickBot="1" x14ac:dyDescent="0.25">
      <c r="A58" s="1587"/>
      <c r="B58" s="1588"/>
      <c r="C58" s="1589"/>
      <c r="D58" s="1590"/>
      <c r="E58" s="1592"/>
      <c r="F58" s="876">
        <v>29.5</v>
      </c>
      <c r="G58" s="877">
        <v>0.1</v>
      </c>
      <c r="H58" s="878">
        <v>-0.1</v>
      </c>
      <c r="I58" s="879">
        <v>0.2</v>
      </c>
      <c r="J58" s="1582"/>
      <c r="K58" s="1499"/>
      <c r="L58" s="1510"/>
      <c r="M58" s="566"/>
      <c r="N58" s="566"/>
      <c r="O58" s="1492"/>
      <c r="P58" s="721">
        <f>MAX(I56:I58)</f>
        <v>0.3</v>
      </c>
      <c r="Q58" s="721">
        <f>MAX(I59:I61)</f>
        <v>1.7</v>
      </c>
      <c r="R58" s="721">
        <f>MAX(I62:I64)</f>
        <v>9.6000000000000002E-2</v>
      </c>
      <c r="S58" s="1443"/>
      <c r="T58" s="1450"/>
      <c r="U58" s="579"/>
      <c r="V58" s="579"/>
      <c r="W58" s="579"/>
      <c r="X58" s="579"/>
      <c r="Y58" s="579"/>
      <c r="Z58" s="579"/>
      <c r="AA58" s="579"/>
      <c r="AB58" s="579"/>
      <c r="AC58" s="579"/>
      <c r="AD58" s="545"/>
      <c r="AV58" s="545"/>
      <c r="AW58" s="545"/>
      <c r="AX58" s="545"/>
      <c r="AY58" s="545"/>
      <c r="AZ58" s="545"/>
      <c r="BA58" s="545"/>
      <c r="BB58" s="545"/>
      <c r="BC58" s="545"/>
      <c r="BD58" s="545"/>
      <c r="BE58" s="545"/>
      <c r="BF58" s="545"/>
    </row>
    <row r="59" spans="1:58" ht="30" customHeight="1" thickBot="1" x14ac:dyDescent="0.25">
      <c r="A59" s="1537" t="s">
        <v>280</v>
      </c>
      <c r="B59" s="1538"/>
      <c r="C59" s="1589"/>
      <c r="D59" s="1590"/>
      <c r="E59" s="1592"/>
      <c r="F59" s="869">
        <v>33.299999999999997</v>
      </c>
      <c r="G59" s="638">
        <v>0.1</v>
      </c>
      <c r="H59" s="638">
        <v>-3.3</v>
      </c>
      <c r="I59" s="880">
        <v>1.7</v>
      </c>
      <c r="J59" s="1501">
        <v>2</v>
      </c>
      <c r="K59" s="1497">
        <v>44020</v>
      </c>
      <c r="L59" s="1508" t="s">
        <v>538</v>
      </c>
      <c r="M59" s="566"/>
      <c r="N59" s="566"/>
      <c r="O59" s="1493"/>
      <c r="P59" s="965"/>
      <c r="Q59" s="966"/>
      <c r="R59" s="966"/>
      <c r="S59" s="1465"/>
      <c r="T59" s="1455"/>
      <c r="U59" s="579"/>
      <c r="V59" s="579"/>
      <c r="W59" s="579"/>
      <c r="X59" s="579"/>
      <c r="Y59" s="579"/>
      <c r="Z59" s="579"/>
      <c r="AA59" s="579"/>
      <c r="AB59" s="579"/>
      <c r="AC59" s="579"/>
      <c r="AD59" s="545"/>
      <c r="AV59" s="545"/>
      <c r="AW59" s="545"/>
      <c r="AX59" s="545"/>
      <c r="AY59" s="545"/>
      <c r="AZ59" s="545"/>
      <c r="BA59" s="545"/>
      <c r="BB59" s="545"/>
      <c r="BC59" s="545"/>
      <c r="BD59" s="545"/>
      <c r="BE59" s="545"/>
      <c r="BF59" s="545"/>
    </row>
    <row r="60" spans="1:58" ht="30" customHeight="1" x14ac:dyDescent="0.2">
      <c r="A60" s="1535"/>
      <c r="B60" s="1536"/>
      <c r="C60" s="1589"/>
      <c r="D60" s="1590"/>
      <c r="E60" s="1592"/>
      <c r="F60" s="881">
        <v>51.2</v>
      </c>
      <c r="G60" s="873">
        <v>0.1</v>
      </c>
      <c r="H60" s="882">
        <v>-1.3</v>
      </c>
      <c r="I60" s="875">
        <v>1.7</v>
      </c>
      <c r="J60" s="1502"/>
      <c r="K60" s="1498"/>
      <c r="L60" s="1509"/>
      <c r="M60" s="566"/>
      <c r="N60" s="566"/>
      <c r="O60" s="673"/>
      <c r="P60" s="545"/>
      <c r="Q60" s="578"/>
      <c r="R60" s="579"/>
      <c r="S60" s="579"/>
      <c r="T60" s="674"/>
      <c r="U60" s="579"/>
      <c r="V60" s="579"/>
      <c r="W60" s="579"/>
      <c r="X60" s="579"/>
      <c r="Y60" s="579"/>
      <c r="Z60" s="579"/>
      <c r="AA60" s="579"/>
      <c r="AB60" s="579"/>
      <c r="AC60" s="579"/>
      <c r="AD60" s="545"/>
      <c r="AV60" s="545"/>
      <c r="AW60" s="545"/>
      <c r="AX60" s="545"/>
      <c r="AY60" s="545"/>
      <c r="AZ60" s="545"/>
      <c r="BA60" s="545"/>
      <c r="BB60" s="545"/>
      <c r="BC60" s="545"/>
      <c r="BD60" s="545"/>
      <c r="BE60" s="545"/>
      <c r="BF60" s="545"/>
    </row>
    <row r="61" spans="1:58" ht="30" customHeight="1" thickBot="1" x14ac:dyDescent="0.25">
      <c r="A61" s="1539"/>
      <c r="B61" s="1540"/>
      <c r="C61" s="1589"/>
      <c r="D61" s="1590"/>
      <c r="E61" s="1592"/>
      <c r="F61" s="883">
        <v>77.099999999999994</v>
      </c>
      <c r="G61" s="877">
        <v>0.1</v>
      </c>
      <c r="H61" s="884">
        <v>3</v>
      </c>
      <c r="I61" s="879">
        <v>1.7</v>
      </c>
      <c r="J61" s="1582"/>
      <c r="K61" s="1499"/>
      <c r="L61" s="1510"/>
      <c r="M61" s="566"/>
      <c r="N61" s="566"/>
      <c r="O61" s="673"/>
      <c r="P61" s="545"/>
      <c r="Q61" s="578"/>
      <c r="R61" s="579"/>
      <c r="S61" s="579"/>
      <c r="T61" s="674"/>
      <c r="U61" s="579"/>
      <c r="V61" s="579"/>
      <c r="W61" s="579"/>
      <c r="X61" s="579"/>
      <c r="Y61" s="579"/>
      <c r="Z61" s="579"/>
      <c r="AA61" s="579"/>
      <c r="AB61" s="579"/>
      <c r="AC61" s="579"/>
      <c r="AD61" s="545"/>
      <c r="AV61" s="545"/>
      <c r="AW61" s="545"/>
      <c r="AX61" s="545"/>
      <c r="AY61" s="545"/>
      <c r="AZ61" s="545"/>
      <c r="BA61" s="545"/>
      <c r="BB61" s="545"/>
      <c r="BC61" s="545"/>
      <c r="BD61" s="545"/>
      <c r="BE61" s="545"/>
      <c r="BF61" s="545"/>
    </row>
    <row r="62" spans="1:58" ht="30" customHeight="1" x14ac:dyDescent="0.2">
      <c r="A62" s="1535" t="s">
        <v>74</v>
      </c>
      <c r="B62" s="1536"/>
      <c r="C62" s="1589"/>
      <c r="D62" s="1590"/>
      <c r="E62" s="1495"/>
      <c r="F62" s="869">
        <v>598.03200000000004</v>
      </c>
      <c r="G62" s="638">
        <v>0.1</v>
      </c>
      <c r="H62" s="661">
        <v>1.534</v>
      </c>
      <c r="I62" s="885">
        <v>0.08</v>
      </c>
      <c r="J62" s="1501">
        <v>2</v>
      </c>
      <c r="K62" s="1497">
        <v>43980</v>
      </c>
      <c r="L62" s="1504" t="s">
        <v>539</v>
      </c>
      <c r="M62" s="566"/>
      <c r="N62" s="566"/>
      <c r="O62" s="673"/>
      <c r="P62" s="545"/>
      <c r="Q62" s="578"/>
      <c r="R62" s="579"/>
      <c r="S62" s="579"/>
      <c r="T62" s="674"/>
      <c r="U62" s="579"/>
      <c r="V62" s="579"/>
      <c r="W62" s="579"/>
      <c r="X62" s="579"/>
      <c r="Y62" s="579"/>
      <c r="Z62" s="579"/>
      <c r="AA62" s="579"/>
      <c r="AB62" s="579"/>
      <c r="AC62" s="579"/>
      <c r="AD62" s="545"/>
      <c r="AV62" s="545"/>
      <c r="AW62" s="545"/>
      <c r="AX62" s="545"/>
      <c r="AY62" s="545"/>
      <c r="AZ62" s="545"/>
      <c r="BA62" s="545"/>
      <c r="BB62" s="545"/>
      <c r="BC62" s="545"/>
      <c r="BD62" s="545"/>
      <c r="BE62" s="545"/>
      <c r="BF62" s="545"/>
    </row>
    <row r="63" spans="1:58" ht="30" customHeight="1" x14ac:dyDescent="0.2">
      <c r="A63" s="1535"/>
      <c r="B63" s="1536"/>
      <c r="C63" s="1589"/>
      <c r="D63" s="1590"/>
      <c r="E63" s="1495"/>
      <c r="F63" s="872">
        <v>752.71299999999997</v>
      </c>
      <c r="G63" s="655">
        <v>0.1</v>
      </c>
      <c r="H63" s="662">
        <v>1.0549999999999999</v>
      </c>
      <c r="I63" s="875">
        <v>8.4000000000000005E-2</v>
      </c>
      <c r="J63" s="1502"/>
      <c r="K63" s="1498"/>
      <c r="L63" s="1505"/>
      <c r="M63" s="566"/>
      <c r="N63" s="566"/>
      <c r="O63" s="673"/>
      <c r="P63" s="545"/>
      <c r="Q63" s="578"/>
      <c r="R63" s="579"/>
      <c r="S63" s="579"/>
      <c r="T63" s="674"/>
      <c r="U63" s="579"/>
      <c r="V63" s="579"/>
      <c r="W63" s="579"/>
      <c r="X63" s="579"/>
      <c r="Y63" s="579"/>
      <c r="Z63" s="579"/>
      <c r="AA63" s="579"/>
      <c r="AB63" s="579"/>
      <c r="AC63" s="579"/>
      <c r="AD63" s="545"/>
      <c r="AV63" s="545"/>
      <c r="AW63" s="545"/>
      <c r="AX63" s="545"/>
      <c r="AY63" s="545"/>
      <c r="AZ63" s="545"/>
      <c r="BA63" s="545"/>
      <c r="BB63" s="545"/>
      <c r="BC63" s="545"/>
      <c r="BD63" s="545"/>
      <c r="BE63" s="545"/>
      <c r="BF63" s="545"/>
    </row>
    <row r="64" spans="1:58" ht="30" customHeight="1" thickBot="1" x14ac:dyDescent="0.25">
      <c r="A64" s="1535"/>
      <c r="B64" s="1536"/>
      <c r="C64" s="1589"/>
      <c r="D64" s="1590"/>
      <c r="E64" s="1495"/>
      <c r="F64" s="876">
        <v>848.5</v>
      </c>
      <c r="G64" s="657">
        <v>0.1</v>
      </c>
      <c r="H64" s="777">
        <v>0.77800000000000002</v>
      </c>
      <c r="I64" s="879">
        <v>9.6000000000000002E-2</v>
      </c>
      <c r="J64" s="1503"/>
      <c r="K64" s="1500"/>
      <c r="L64" s="1506"/>
      <c r="M64" s="566"/>
      <c r="N64" s="566"/>
      <c r="O64" s="673"/>
      <c r="P64" s="545"/>
      <c r="Q64" s="578"/>
      <c r="R64" s="579"/>
      <c r="S64" s="579"/>
      <c r="T64" s="674"/>
      <c r="U64" s="579"/>
      <c r="V64" s="579"/>
      <c r="W64" s="579"/>
      <c r="X64" s="579"/>
      <c r="Y64" s="579"/>
      <c r="Z64" s="579"/>
      <c r="AA64" s="579"/>
      <c r="AB64" s="579"/>
      <c r="AC64" s="579"/>
      <c r="AD64" s="545"/>
      <c r="AV64" s="545"/>
      <c r="AW64" s="545"/>
      <c r="AX64" s="545"/>
      <c r="AY64" s="545"/>
      <c r="AZ64" s="545"/>
      <c r="BA64" s="545"/>
      <c r="BB64" s="545"/>
      <c r="BC64" s="545"/>
      <c r="BD64" s="545"/>
      <c r="BE64" s="545"/>
      <c r="BF64" s="545"/>
    </row>
    <row r="65" spans="1:58" ht="30" customHeight="1" x14ac:dyDescent="0.2">
      <c r="A65" s="607"/>
      <c r="B65" s="675"/>
      <c r="C65" s="676"/>
      <c r="D65" s="677"/>
      <c r="E65" s="678"/>
      <c r="F65" s="608"/>
      <c r="G65" s="608"/>
      <c r="H65" s="608"/>
      <c r="I65" s="608"/>
      <c r="J65" s="608"/>
      <c r="K65" s="679"/>
      <c r="L65" s="680"/>
      <c r="M65" s="566"/>
      <c r="N65" s="566"/>
      <c r="O65" s="673"/>
      <c r="P65" s="545"/>
      <c r="Q65" s="578"/>
      <c r="R65" s="579"/>
      <c r="S65" s="579"/>
      <c r="T65" s="674"/>
      <c r="U65" s="579"/>
      <c r="V65" s="579"/>
      <c r="W65" s="579"/>
      <c r="X65" s="579"/>
      <c r="Y65" s="579"/>
      <c r="Z65" s="579"/>
      <c r="AA65" s="579"/>
      <c r="AB65" s="579"/>
      <c r="AC65" s="579"/>
      <c r="AD65" s="545"/>
      <c r="AV65" s="545"/>
      <c r="AW65" s="545"/>
      <c r="AX65" s="545"/>
      <c r="AY65" s="545"/>
      <c r="AZ65" s="545"/>
      <c r="BA65" s="545"/>
      <c r="BB65" s="545"/>
      <c r="BC65" s="545"/>
      <c r="BD65" s="545"/>
      <c r="BE65" s="545"/>
      <c r="BF65" s="545"/>
    </row>
    <row r="66" spans="1:58" ht="30" customHeight="1" thickBot="1" x14ac:dyDescent="0.25">
      <c r="A66" s="681"/>
      <c r="B66" s="682"/>
      <c r="C66" s="683"/>
      <c r="D66" s="684"/>
      <c r="E66" s="685"/>
      <c r="F66" s="686"/>
      <c r="G66" s="686"/>
      <c r="H66" s="686"/>
      <c r="I66" s="686"/>
      <c r="J66" s="596"/>
      <c r="K66" s="687"/>
      <c r="L66" s="688"/>
      <c r="M66" s="566"/>
      <c r="N66" s="566"/>
      <c r="O66" s="673"/>
      <c r="P66" s="545"/>
      <c r="Q66" s="578"/>
      <c r="R66" s="579"/>
      <c r="S66" s="579"/>
      <c r="T66" s="674"/>
      <c r="U66" s="579"/>
      <c r="V66" s="579"/>
      <c r="W66" s="579"/>
      <c r="X66" s="579"/>
      <c r="Y66" s="579"/>
      <c r="Z66" s="579"/>
      <c r="AA66" s="579"/>
      <c r="AB66" s="579"/>
      <c r="AC66" s="579"/>
      <c r="AD66" s="545"/>
      <c r="AV66" s="545"/>
      <c r="AW66" s="545"/>
      <c r="AX66" s="545"/>
      <c r="AY66" s="545"/>
      <c r="AZ66" s="545"/>
      <c r="BA66" s="545"/>
      <c r="BB66" s="545"/>
      <c r="BC66" s="545"/>
      <c r="BD66" s="545"/>
      <c r="BE66" s="545"/>
      <c r="BF66" s="545"/>
    </row>
    <row r="67" spans="1:58" ht="30" customHeight="1" x14ac:dyDescent="0.2">
      <c r="A67" s="1541" t="s">
        <v>27</v>
      </c>
      <c r="B67" s="1542"/>
      <c r="C67" s="1511" t="s">
        <v>283</v>
      </c>
      <c r="D67" s="1521" t="s">
        <v>233</v>
      </c>
      <c r="E67" s="1514" t="s">
        <v>397</v>
      </c>
      <c r="F67" s="886">
        <v>15.3</v>
      </c>
      <c r="G67" s="638">
        <v>0.1</v>
      </c>
      <c r="H67" s="638">
        <v>-0.1</v>
      </c>
      <c r="I67" s="887">
        <v>0.3</v>
      </c>
      <c r="J67" s="1488">
        <v>2</v>
      </c>
      <c r="K67" s="1454">
        <v>44000</v>
      </c>
      <c r="L67" s="1449" t="s">
        <v>542</v>
      </c>
      <c r="M67" s="566"/>
      <c r="N67" s="566"/>
      <c r="O67" s="1491" t="s">
        <v>284</v>
      </c>
      <c r="P67" s="712" t="s">
        <v>3</v>
      </c>
      <c r="Q67" s="963" t="s">
        <v>439</v>
      </c>
      <c r="R67" s="963" t="s">
        <v>15</v>
      </c>
      <c r="S67" s="1454" t="s">
        <v>545</v>
      </c>
      <c r="T67" s="1449" t="s">
        <v>546</v>
      </c>
      <c r="U67" s="579"/>
      <c r="V67" s="579"/>
      <c r="W67" s="579"/>
      <c r="X67" s="579"/>
      <c r="Y67" s="579"/>
      <c r="Z67" s="579"/>
      <c r="AA67" s="579"/>
      <c r="AB67" s="579"/>
      <c r="AC67" s="579"/>
      <c r="AD67" s="545"/>
      <c r="AV67" s="545"/>
      <c r="AW67" s="545"/>
      <c r="AX67" s="545"/>
      <c r="AY67" s="545"/>
      <c r="AZ67" s="545"/>
      <c r="BA67" s="545"/>
      <c r="BB67" s="545"/>
      <c r="BC67" s="545"/>
      <c r="BD67" s="545"/>
      <c r="BE67" s="545"/>
      <c r="BF67" s="545"/>
    </row>
    <row r="68" spans="1:58" ht="30" customHeight="1" x14ac:dyDescent="0.2">
      <c r="A68" s="1543"/>
      <c r="B68" s="1544"/>
      <c r="C68" s="1512"/>
      <c r="D68" s="1516"/>
      <c r="E68" s="1515"/>
      <c r="F68" s="872">
        <v>24.5</v>
      </c>
      <c r="G68" s="655">
        <v>0.1</v>
      </c>
      <c r="H68" s="655">
        <v>0.3</v>
      </c>
      <c r="I68" s="888">
        <v>0.3</v>
      </c>
      <c r="J68" s="1474"/>
      <c r="K68" s="1444"/>
      <c r="L68" s="1447"/>
      <c r="M68" s="566"/>
      <c r="N68" s="566"/>
      <c r="O68" s="1492"/>
      <c r="P68" s="721">
        <f>MAX(I66:I69)</f>
        <v>0.3</v>
      </c>
      <c r="Q68" s="967">
        <f>MAX(I70:I72)</f>
        <v>1.7</v>
      </c>
      <c r="R68" s="968">
        <f>MAX(I73:I75)</f>
        <v>0.15</v>
      </c>
      <c r="S68" s="1443"/>
      <c r="T68" s="1450"/>
      <c r="U68" s="579"/>
      <c r="V68" s="579"/>
      <c r="W68" s="579"/>
      <c r="X68" s="579"/>
      <c r="Y68" s="579"/>
      <c r="Z68" s="579"/>
      <c r="AA68" s="579"/>
      <c r="AB68" s="579"/>
      <c r="AC68" s="579"/>
      <c r="AD68" s="545"/>
      <c r="AV68" s="545"/>
      <c r="AW68" s="545"/>
      <c r="AX68" s="545"/>
      <c r="AY68" s="545"/>
      <c r="AZ68" s="545"/>
      <c r="BA68" s="545"/>
      <c r="BB68" s="545"/>
      <c r="BC68" s="545"/>
      <c r="BD68" s="545"/>
      <c r="BE68" s="545"/>
      <c r="BF68" s="545"/>
    </row>
    <row r="69" spans="1:58" ht="30" customHeight="1" thickBot="1" x14ac:dyDescent="0.25">
      <c r="A69" s="1545"/>
      <c r="B69" s="1546"/>
      <c r="C69" s="1512"/>
      <c r="D69" s="1516"/>
      <c r="E69" s="1515"/>
      <c r="F69" s="883">
        <v>29.5</v>
      </c>
      <c r="G69" s="657">
        <v>0.1</v>
      </c>
      <c r="H69" s="657">
        <v>0.2</v>
      </c>
      <c r="I69" s="889">
        <v>0.3</v>
      </c>
      <c r="J69" s="1474"/>
      <c r="K69" s="1444"/>
      <c r="L69" s="1447"/>
      <c r="M69" s="566"/>
      <c r="N69" s="566"/>
      <c r="O69" s="1492"/>
      <c r="P69" s="969"/>
      <c r="Q69" s="970"/>
      <c r="R69" s="970"/>
      <c r="S69" s="1581"/>
      <c r="T69" s="1451"/>
      <c r="U69" s="579"/>
      <c r="V69" s="579"/>
      <c r="W69" s="579"/>
      <c r="X69" s="579"/>
      <c r="Y69" s="579"/>
      <c r="Z69" s="579"/>
      <c r="AA69" s="579"/>
      <c r="AB69" s="579"/>
      <c r="AC69" s="579"/>
      <c r="AD69" s="545"/>
      <c r="AV69" s="545"/>
      <c r="AW69" s="545"/>
      <c r="AX69" s="545"/>
      <c r="AY69" s="545"/>
      <c r="AZ69" s="545"/>
      <c r="BA69" s="545"/>
      <c r="BB69" s="545"/>
      <c r="BC69" s="545"/>
      <c r="BD69" s="545"/>
      <c r="BE69" s="545"/>
      <c r="BF69" s="545"/>
    </row>
    <row r="70" spans="1:58" ht="30" customHeight="1" x14ac:dyDescent="0.2">
      <c r="A70" s="1522" t="s">
        <v>280</v>
      </c>
      <c r="B70" s="1547"/>
      <c r="C70" s="1512"/>
      <c r="D70" s="1516"/>
      <c r="E70" s="1515"/>
      <c r="F70" s="869">
        <v>32.4</v>
      </c>
      <c r="G70" s="890">
        <v>0.1</v>
      </c>
      <c r="H70" s="890">
        <v>-2.4</v>
      </c>
      <c r="I70" s="891">
        <v>1.7</v>
      </c>
      <c r="J70" s="1531">
        <v>2</v>
      </c>
      <c r="K70" s="1443">
        <v>44001</v>
      </c>
      <c r="L70" s="1450" t="s">
        <v>543</v>
      </c>
      <c r="M70" s="566"/>
      <c r="N70" s="566"/>
      <c r="O70" s="689"/>
      <c r="P70" s="578"/>
      <c r="Q70" s="578"/>
      <c r="R70" s="578"/>
      <c r="S70" s="578"/>
      <c r="T70" s="690"/>
      <c r="U70" s="579"/>
      <c r="V70" s="579"/>
      <c r="W70" s="579"/>
      <c r="X70" s="579"/>
      <c r="Y70" s="579"/>
      <c r="Z70" s="579"/>
      <c r="AA70" s="579"/>
      <c r="AB70" s="579"/>
      <c r="AC70" s="579"/>
      <c r="AD70" s="545"/>
      <c r="AV70" s="545"/>
      <c r="AW70" s="545"/>
      <c r="AX70" s="545"/>
      <c r="AY70" s="545"/>
      <c r="AZ70" s="545"/>
      <c r="BA70" s="545"/>
      <c r="BB70" s="545"/>
      <c r="BC70" s="545"/>
      <c r="BD70" s="545"/>
      <c r="BE70" s="545"/>
      <c r="BF70" s="545"/>
    </row>
    <row r="71" spans="1:58" ht="30" customHeight="1" x14ac:dyDescent="0.2">
      <c r="A71" s="1524"/>
      <c r="B71" s="1548"/>
      <c r="C71" s="1512"/>
      <c r="D71" s="1516"/>
      <c r="E71" s="1515"/>
      <c r="F71" s="872">
        <v>50.2</v>
      </c>
      <c r="G71" s="892">
        <v>0.1</v>
      </c>
      <c r="H71" s="892">
        <v>-0.2</v>
      </c>
      <c r="I71" s="893">
        <v>1.7</v>
      </c>
      <c r="J71" s="1474"/>
      <c r="K71" s="1444"/>
      <c r="L71" s="1447"/>
      <c r="M71" s="566"/>
      <c r="N71" s="566"/>
      <c r="O71" s="673"/>
      <c r="P71" s="545"/>
      <c r="Q71" s="578"/>
      <c r="R71" s="579"/>
      <c r="S71" s="579"/>
      <c r="T71" s="674"/>
      <c r="U71" s="579"/>
      <c r="V71" s="579"/>
      <c r="W71" s="579"/>
      <c r="X71" s="579"/>
      <c r="Y71" s="579"/>
      <c r="Z71" s="579"/>
      <c r="AA71" s="579"/>
      <c r="AB71" s="579"/>
      <c r="AC71" s="579"/>
      <c r="AD71" s="545"/>
      <c r="AV71" s="545"/>
      <c r="AW71" s="545"/>
      <c r="AX71" s="545"/>
      <c r="AY71" s="545"/>
      <c r="AZ71" s="545"/>
      <c r="BA71" s="545"/>
      <c r="BB71" s="545"/>
      <c r="BC71" s="545"/>
      <c r="BD71" s="545"/>
      <c r="BE71" s="545"/>
      <c r="BF71" s="545"/>
    </row>
    <row r="72" spans="1:58" ht="30" customHeight="1" thickBot="1" x14ac:dyDescent="0.25">
      <c r="A72" s="1526"/>
      <c r="B72" s="1549"/>
      <c r="C72" s="1512"/>
      <c r="D72" s="1516"/>
      <c r="E72" s="1515"/>
      <c r="F72" s="883">
        <v>76.099999999999994</v>
      </c>
      <c r="G72" s="894">
        <v>0.1</v>
      </c>
      <c r="H72" s="894">
        <v>3.9</v>
      </c>
      <c r="I72" s="895">
        <v>1.7</v>
      </c>
      <c r="J72" s="1474"/>
      <c r="K72" s="1444"/>
      <c r="L72" s="1447"/>
      <c r="M72" s="566"/>
      <c r="N72" s="566"/>
      <c r="O72" s="673"/>
      <c r="P72" s="545"/>
      <c r="Q72" s="578"/>
      <c r="R72" s="579"/>
      <c r="S72" s="579"/>
      <c r="T72" s="674"/>
      <c r="U72" s="579"/>
      <c r="V72" s="579"/>
      <c r="W72" s="579"/>
      <c r="X72" s="579"/>
      <c r="Y72" s="579"/>
      <c r="Z72" s="579"/>
      <c r="AA72" s="579"/>
      <c r="AB72" s="579"/>
      <c r="AC72" s="579"/>
      <c r="AD72" s="545"/>
      <c r="AV72" s="545"/>
      <c r="AW72" s="545"/>
      <c r="AX72" s="545"/>
      <c r="AY72" s="545"/>
      <c r="AZ72" s="545"/>
      <c r="BA72" s="545"/>
      <c r="BB72" s="545"/>
      <c r="BC72" s="545"/>
      <c r="BD72" s="545"/>
      <c r="BE72" s="545"/>
      <c r="BF72" s="545"/>
    </row>
    <row r="73" spans="1:58" ht="30" customHeight="1" x14ac:dyDescent="0.2">
      <c r="A73" s="1522" t="s">
        <v>74</v>
      </c>
      <c r="B73" s="1547"/>
      <c r="C73" s="1512"/>
      <c r="D73" s="1516"/>
      <c r="E73" s="1516"/>
      <c r="F73" s="896">
        <v>397.70400000000001</v>
      </c>
      <c r="G73" s="890">
        <v>0.1</v>
      </c>
      <c r="H73" s="897">
        <v>2.25</v>
      </c>
      <c r="I73" s="898">
        <v>0.12</v>
      </c>
      <c r="J73" s="1531">
        <v>2</v>
      </c>
      <c r="K73" s="1443">
        <v>43980</v>
      </c>
      <c r="L73" s="1561" t="s">
        <v>544</v>
      </c>
      <c r="M73" s="566"/>
      <c r="N73" s="566"/>
      <c r="O73" s="673"/>
      <c r="P73" s="545"/>
      <c r="Q73" s="578"/>
      <c r="R73" s="579"/>
      <c r="S73" s="579"/>
      <c r="T73" s="674"/>
      <c r="U73" s="579"/>
      <c r="V73" s="579"/>
      <c r="W73" s="579"/>
      <c r="X73" s="579"/>
      <c r="Y73" s="579"/>
      <c r="Z73" s="579"/>
      <c r="AA73" s="579"/>
      <c r="AB73" s="579"/>
      <c r="AC73" s="579"/>
      <c r="AD73" s="545"/>
      <c r="AV73" s="545"/>
      <c r="AW73" s="545"/>
      <c r="AX73" s="545"/>
      <c r="AY73" s="545"/>
      <c r="AZ73" s="545"/>
      <c r="BA73" s="545"/>
      <c r="BB73" s="545"/>
      <c r="BC73" s="545"/>
      <c r="BD73" s="545"/>
      <c r="BE73" s="545"/>
      <c r="BF73" s="545"/>
    </row>
    <row r="74" spans="1:58" ht="30" customHeight="1" x14ac:dyDescent="0.2">
      <c r="A74" s="1524"/>
      <c r="B74" s="1548"/>
      <c r="C74" s="1512"/>
      <c r="D74" s="1516"/>
      <c r="E74" s="1516"/>
      <c r="F74" s="899">
        <v>752.71299999999997</v>
      </c>
      <c r="G74" s="892">
        <v>0.1</v>
      </c>
      <c r="H74" s="900">
        <v>1.0549999999999999</v>
      </c>
      <c r="I74" s="901">
        <v>8.4000000000000005E-2</v>
      </c>
      <c r="J74" s="1474"/>
      <c r="K74" s="1444"/>
      <c r="L74" s="1447"/>
      <c r="M74" s="566"/>
      <c r="N74" s="566"/>
      <c r="O74" s="673"/>
      <c r="P74" s="545"/>
      <c r="Q74" s="578"/>
      <c r="R74" s="579"/>
      <c r="S74" s="579"/>
      <c r="T74" s="674"/>
      <c r="U74" s="579"/>
      <c r="V74" s="579"/>
      <c r="W74" s="579"/>
      <c r="X74" s="579"/>
      <c r="Y74" s="579"/>
      <c r="Z74" s="579"/>
      <c r="AA74" s="579"/>
      <c r="AB74" s="579"/>
      <c r="AC74" s="579"/>
      <c r="AD74" s="545"/>
      <c r="AV74" s="545"/>
      <c r="AW74" s="545"/>
      <c r="AX74" s="545"/>
      <c r="AY74" s="545"/>
      <c r="AZ74" s="545"/>
      <c r="BA74" s="545"/>
      <c r="BB74" s="545"/>
      <c r="BC74" s="545"/>
      <c r="BD74" s="545"/>
      <c r="BE74" s="545"/>
      <c r="BF74" s="545"/>
    </row>
    <row r="75" spans="1:58" ht="30" customHeight="1" thickBot="1" x14ac:dyDescent="0.25">
      <c r="A75" s="1526"/>
      <c r="B75" s="1549"/>
      <c r="C75" s="1513"/>
      <c r="D75" s="1517"/>
      <c r="E75" s="1517"/>
      <c r="F75" s="902">
        <v>1098.79</v>
      </c>
      <c r="G75" s="894">
        <v>0.1</v>
      </c>
      <c r="H75" s="903">
        <v>0.84</v>
      </c>
      <c r="I75" s="904">
        <v>0.15</v>
      </c>
      <c r="J75" s="1532"/>
      <c r="K75" s="1445"/>
      <c r="L75" s="1448"/>
      <c r="M75" s="566"/>
      <c r="N75" s="566"/>
      <c r="O75" s="673"/>
      <c r="P75" s="545"/>
      <c r="Q75" s="578"/>
      <c r="R75" s="579"/>
      <c r="S75" s="579"/>
      <c r="T75" s="674"/>
      <c r="U75" s="579"/>
      <c r="V75" s="579"/>
      <c r="W75" s="579"/>
      <c r="X75" s="579"/>
      <c r="Y75" s="579"/>
      <c r="Z75" s="579"/>
      <c r="AA75" s="579"/>
      <c r="AB75" s="579"/>
      <c r="AC75" s="579"/>
      <c r="AD75" s="545"/>
      <c r="AV75" s="545"/>
      <c r="AW75" s="545"/>
      <c r="AX75" s="545"/>
      <c r="AY75" s="545"/>
      <c r="AZ75" s="545"/>
      <c r="BA75" s="545"/>
      <c r="BB75" s="545"/>
      <c r="BC75" s="545"/>
      <c r="BD75" s="545"/>
      <c r="BE75" s="545"/>
      <c r="BF75" s="545"/>
    </row>
    <row r="76" spans="1:58" ht="30" customHeight="1" x14ac:dyDescent="0.2">
      <c r="A76" s="545"/>
      <c r="B76" s="691"/>
      <c r="C76" s="545"/>
      <c r="D76" s="545"/>
      <c r="E76" s="566"/>
      <c r="F76" s="566"/>
      <c r="G76" s="566"/>
      <c r="H76" s="566"/>
      <c r="I76" s="566"/>
      <c r="J76" s="566"/>
      <c r="K76" s="566"/>
      <c r="L76" s="566"/>
      <c r="M76" s="566"/>
      <c r="N76" s="566"/>
      <c r="O76" s="673"/>
      <c r="P76" s="545"/>
      <c r="Q76" s="578"/>
      <c r="R76" s="579"/>
      <c r="S76" s="579"/>
      <c r="T76" s="674"/>
      <c r="U76" s="579"/>
      <c r="V76" s="579"/>
      <c r="W76" s="579"/>
      <c r="X76" s="579"/>
      <c r="Y76" s="579"/>
      <c r="Z76" s="579"/>
      <c r="AA76" s="579"/>
      <c r="AB76" s="579"/>
      <c r="AC76" s="579"/>
      <c r="AD76" s="545"/>
      <c r="AV76" s="545"/>
      <c r="AW76" s="545"/>
      <c r="AX76" s="545"/>
      <c r="AY76" s="545"/>
      <c r="AZ76" s="545"/>
      <c r="BA76" s="545"/>
      <c r="BB76" s="545"/>
      <c r="BC76" s="545"/>
      <c r="BD76" s="545"/>
      <c r="BE76" s="545"/>
      <c r="BF76" s="545"/>
    </row>
    <row r="77" spans="1:58" ht="30" customHeight="1" thickBot="1" x14ac:dyDescent="0.25">
      <c r="A77" s="545"/>
      <c r="B77" s="691"/>
      <c r="C77" s="692"/>
      <c r="D77" s="693"/>
      <c r="E77" s="694"/>
      <c r="F77" s="596"/>
      <c r="G77" s="596"/>
      <c r="H77" s="596"/>
      <c r="I77" s="596"/>
      <c r="J77" s="596"/>
      <c r="K77" s="687"/>
      <c r="L77" s="566"/>
      <c r="M77" s="566"/>
      <c r="N77" s="566"/>
      <c r="O77" s="673"/>
      <c r="P77" s="545"/>
      <c r="Q77" s="578"/>
      <c r="R77" s="579"/>
      <c r="S77" s="579"/>
      <c r="T77" s="674"/>
      <c r="U77" s="579"/>
      <c r="V77" s="579"/>
      <c r="W77" s="579"/>
      <c r="X77" s="579"/>
      <c r="Y77" s="579"/>
      <c r="Z77" s="579"/>
      <c r="AA77" s="579"/>
      <c r="AB77" s="579"/>
      <c r="AC77" s="579"/>
      <c r="AD77" s="545"/>
      <c r="AV77" s="545"/>
      <c r="AW77" s="545"/>
      <c r="AX77" s="545"/>
      <c r="AY77" s="545"/>
      <c r="AZ77" s="545"/>
      <c r="BA77" s="545"/>
      <c r="BB77" s="545"/>
      <c r="BC77" s="545"/>
      <c r="BD77" s="545"/>
      <c r="BE77" s="545"/>
      <c r="BF77" s="545"/>
    </row>
    <row r="78" spans="1:58" ht="30" customHeight="1" x14ac:dyDescent="0.2">
      <c r="A78" s="1522" t="s">
        <v>27</v>
      </c>
      <c r="B78" s="1523"/>
      <c r="C78" s="1511" t="s">
        <v>285</v>
      </c>
      <c r="D78" s="1480" t="s">
        <v>233</v>
      </c>
      <c r="E78" s="1514" t="s">
        <v>399</v>
      </c>
      <c r="F78" s="917">
        <v>15.3</v>
      </c>
      <c r="G78" s="918">
        <v>0.1</v>
      </c>
      <c r="H78" s="919">
        <v>-0.1</v>
      </c>
      <c r="I78" s="920">
        <v>0.3</v>
      </c>
      <c r="J78" s="1518">
        <v>2</v>
      </c>
      <c r="K78" s="1452">
        <v>43732</v>
      </c>
      <c r="L78" s="1569" t="s">
        <v>402</v>
      </c>
      <c r="M78" s="566"/>
      <c r="N78" s="566"/>
      <c r="O78" s="1491" t="s">
        <v>287</v>
      </c>
      <c r="P78" s="712" t="s">
        <v>3</v>
      </c>
      <c r="Q78" s="963" t="s">
        <v>439</v>
      </c>
      <c r="R78" s="963" t="s">
        <v>15</v>
      </c>
      <c r="S78" s="1459" t="s">
        <v>579</v>
      </c>
      <c r="T78" s="1462" t="s">
        <v>580</v>
      </c>
      <c r="U78" s="579"/>
      <c r="V78" s="579"/>
      <c r="W78" s="579"/>
      <c r="X78" s="579"/>
      <c r="Y78" s="579"/>
      <c r="Z78" s="579"/>
      <c r="AA78" s="579"/>
      <c r="AB78" s="579"/>
      <c r="AC78" s="579"/>
      <c r="AD78" s="545"/>
      <c r="AV78" s="545"/>
      <c r="AW78" s="545"/>
      <c r="AX78" s="545"/>
      <c r="AY78" s="545"/>
      <c r="AZ78" s="545"/>
      <c r="BA78" s="545"/>
      <c r="BB78" s="545"/>
      <c r="BC78" s="545"/>
      <c r="BD78" s="545"/>
      <c r="BE78" s="545"/>
      <c r="BF78" s="545"/>
    </row>
    <row r="79" spans="1:58" ht="30" customHeight="1" x14ac:dyDescent="0.2">
      <c r="A79" s="1524"/>
      <c r="B79" s="1525"/>
      <c r="C79" s="1512"/>
      <c r="D79" s="1481"/>
      <c r="E79" s="1515"/>
      <c r="F79" s="861">
        <v>24.8</v>
      </c>
      <c r="G79" s="862">
        <v>0.1</v>
      </c>
      <c r="H79" s="921">
        <v>0</v>
      </c>
      <c r="I79" s="863">
        <v>0.3</v>
      </c>
      <c r="J79" s="1519"/>
      <c r="K79" s="1453"/>
      <c r="L79" s="1534"/>
      <c r="M79" s="566"/>
      <c r="N79" s="566"/>
      <c r="O79" s="1492"/>
      <c r="P79" s="955">
        <f>MAX(I78:I80)</f>
        <v>0.3</v>
      </c>
      <c r="Q79" s="964">
        <f>MAX(I81:I83)</f>
        <v>1.7</v>
      </c>
      <c r="R79" s="964">
        <f>MAX(I84:I86)</f>
        <v>0.14000000000000001</v>
      </c>
      <c r="S79" s="1460"/>
      <c r="T79" s="1463"/>
      <c r="U79" s="579"/>
      <c r="V79" s="579"/>
      <c r="W79" s="579"/>
      <c r="X79" s="579"/>
      <c r="Y79" s="579"/>
      <c r="Z79" s="579"/>
      <c r="AA79" s="579"/>
      <c r="AB79" s="579"/>
      <c r="AC79" s="579"/>
      <c r="AD79" s="545"/>
      <c r="AV79" s="545"/>
      <c r="AW79" s="545"/>
      <c r="AX79" s="545"/>
      <c r="AY79" s="545"/>
      <c r="AZ79" s="545"/>
      <c r="BA79" s="545"/>
      <c r="BB79" s="545"/>
      <c r="BC79" s="545"/>
      <c r="BD79" s="545"/>
      <c r="BE79" s="545"/>
      <c r="BF79" s="545"/>
    </row>
    <row r="80" spans="1:58" ht="30" customHeight="1" thickBot="1" x14ac:dyDescent="0.25">
      <c r="A80" s="1526"/>
      <c r="B80" s="1527"/>
      <c r="C80" s="1512"/>
      <c r="D80" s="1481"/>
      <c r="E80" s="1515"/>
      <c r="F80" s="864">
        <v>29.6</v>
      </c>
      <c r="G80" s="922">
        <v>0.1</v>
      </c>
      <c r="H80" s="865">
        <v>0.1</v>
      </c>
      <c r="I80" s="866">
        <v>0.3</v>
      </c>
      <c r="J80" s="1519"/>
      <c r="K80" s="1453"/>
      <c r="L80" s="1534"/>
      <c r="M80" s="566"/>
      <c r="N80" s="566"/>
      <c r="O80" s="1493"/>
      <c r="P80" s="965"/>
      <c r="Q80" s="966"/>
      <c r="R80" s="966"/>
      <c r="S80" s="1461"/>
      <c r="T80" s="1464"/>
      <c r="U80" s="579"/>
      <c r="V80" s="579"/>
      <c r="W80" s="579"/>
      <c r="X80" s="579"/>
      <c r="Y80" s="579"/>
      <c r="Z80" s="579"/>
      <c r="AA80" s="579"/>
      <c r="AB80" s="579"/>
      <c r="AC80" s="579"/>
      <c r="AD80" s="545"/>
      <c r="AV80" s="545"/>
      <c r="AW80" s="545"/>
      <c r="AX80" s="545"/>
      <c r="AY80" s="545"/>
      <c r="AZ80" s="545"/>
      <c r="BA80" s="545"/>
      <c r="BB80" s="545"/>
      <c r="BC80" s="545"/>
      <c r="BD80" s="545"/>
      <c r="BE80" s="545"/>
      <c r="BF80" s="545"/>
    </row>
    <row r="81" spans="1:58" ht="30" customHeight="1" x14ac:dyDescent="0.2">
      <c r="A81" s="1522" t="s">
        <v>280</v>
      </c>
      <c r="B81" s="1523"/>
      <c r="C81" s="1512"/>
      <c r="D81" s="1481"/>
      <c r="E81" s="1515"/>
      <c r="F81" s="923">
        <v>32.299999999999997</v>
      </c>
      <c r="G81" s="918">
        <v>0.1</v>
      </c>
      <c r="H81" s="918">
        <v>-2.2999999999999998</v>
      </c>
      <c r="I81" s="920">
        <v>1.7</v>
      </c>
      <c r="J81" s="1568">
        <v>2</v>
      </c>
      <c r="K81" s="1528">
        <v>43733</v>
      </c>
      <c r="L81" s="1533" t="s">
        <v>403</v>
      </c>
      <c r="M81" s="566"/>
      <c r="N81" s="566"/>
      <c r="O81" s="673"/>
      <c r="P81" s="545"/>
      <c r="Q81" s="578"/>
      <c r="R81" s="579"/>
      <c r="S81" s="579"/>
      <c r="T81" s="674"/>
      <c r="U81" s="579"/>
      <c r="V81" s="579"/>
      <c r="W81" s="579"/>
      <c r="X81" s="579"/>
      <c r="Y81" s="579"/>
      <c r="Z81" s="579"/>
      <c r="AA81" s="579"/>
      <c r="AB81" s="579"/>
      <c r="AC81" s="579"/>
      <c r="AD81" s="545"/>
      <c r="AV81" s="545"/>
      <c r="AW81" s="545"/>
      <c r="AX81" s="545"/>
      <c r="AY81" s="545"/>
      <c r="AZ81" s="545"/>
      <c r="BA81" s="545"/>
      <c r="BB81" s="545"/>
      <c r="BC81" s="545"/>
      <c r="BD81" s="545"/>
      <c r="BE81" s="545"/>
      <c r="BF81" s="545"/>
    </row>
    <row r="82" spans="1:58" ht="30" customHeight="1" x14ac:dyDescent="0.2">
      <c r="A82" s="1524"/>
      <c r="B82" s="1525"/>
      <c r="C82" s="1512"/>
      <c r="D82" s="1481"/>
      <c r="E82" s="1515"/>
      <c r="F82" s="861">
        <v>50.6</v>
      </c>
      <c r="G82" s="862">
        <v>0.1</v>
      </c>
      <c r="H82" s="862">
        <v>-0.6</v>
      </c>
      <c r="I82" s="863">
        <v>1.7</v>
      </c>
      <c r="J82" s="1519">
        <v>2</v>
      </c>
      <c r="K82" s="1453"/>
      <c r="L82" s="1534"/>
      <c r="M82" s="566"/>
      <c r="N82" s="566"/>
      <c r="O82" s="673"/>
      <c r="P82" s="545"/>
      <c r="Q82" s="578"/>
      <c r="R82" s="579"/>
      <c r="S82" s="579"/>
      <c r="T82" s="674"/>
      <c r="U82" s="579"/>
      <c r="V82" s="579"/>
      <c r="W82" s="579"/>
      <c r="X82" s="579"/>
      <c r="Y82" s="579"/>
      <c r="Z82" s="579"/>
      <c r="AA82" s="579"/>
      <c r="AB82" s="579"/>
      <c r="AC82" s="579"/>
      <c r="AD82" s="545"/>
      <c r="AV82" s="545"/>
      <c r="AW82" s="545"/>
      <c r="AX82" s="545"/>
      <c r="AY82" s="545"/>
      <c r="AZ82" s="545"/>
      <c r="BA82" s="545"/>
      <c r="BB82" s="545"/>
      <c r="BC82" s="545"/>
      <c r="BD82" s="545"/>
      <c r="BE82" s="545"/>
      <c r="BF82" s="545"/>
    </row>
    <row r="83" spans="1:58" ht="30" customHeight="1" thickBot="1" x14ac:dyDescent="0.25">
      <c r="A83" s="1526"/>
      <c r="B83" s="1527"/>
      <c r="C83" s="1512"/>
      <c r="D83" s="1481"/>
      <c r="E83" s="1515"/>
      <c r="F83" s="864">
        <v>68.599999999999994</v>
      </c>
      <c r="G83" s="865">
        <v>0.1</v>
      </c>
      <c r="H83" s="865">
        <v>1.4</v>
      </c>
      <c r="I83" s="866">
        <v>1.7</v>
      </c>
      <c r="J83" s="1519"/>
      <c r="K83" s="1453"/>
      <c r="L83" s="1534"/>
      <c r="M83" s="566"/>
      <c r="N83" s="566"/>
      <c r="O83" s="673"/>
      <c r="P83" s="545"/>
      <c r="Q83" s="578"/>
      <c r="R83" s="579"/>
      <c r="S83" s="579"/>
      <c r="T83" s="674"/>
      <c r="U83" s="579"/>
      <c r="V83" s="579"/>
      <c r="W83" s="579"/>
      <c r="X83" s="579"/>
      <c r="Y83" s="579"/>
      <c r="Z83" s="579"/>
      <c r="AA83" s="579"/>
      <c r="AB83" s="579"/>
      <c r="AC83" s="579"/>
      <c r="AD83" s="545"/>
      <c r="AV83" s="545"/>
      <c r="AW83" s="545"/>
      <c r="AX83" s="545"/>
      <c r="AY83" s="545"/>
      <c r="AZ83" s="545"/>
      <c r="BA83" s="545"/>
      <c r="BB83" s="545"/>
      <c r="BC83" s="545"/>
      <c r="BD83" s="545"/>
      <c r="BE83" s="545"/>
      <c r="BF83" s="545"/>
    </row>
    <row r="84" spans="1:58" ht="30" customHeight="1" x14ac:dyDescent="0.2">
      <c r="A84" s="1522" t="s">
        <v>74</v>
      </c>
      <c r="B84" s="1523"/>
      <c r="C84" s="1512"/>
      <c r="D84" s="1481"/>
      <c r="E84" s="1516"/>
      <c r="F84" s="905">
        <v>397.74599999999998</v>
      </c>
      <c r="G84" s="906">
        <v>0.1</v>
      </c>
      <c r="H84" s="907">
        <v>2.33</v>
      </c>
      <c r="I84" s="908">
        <v>0.12</v>
      </c>
      <c r="J84" s="1565">
        <v>2</v>
      </c>
      <c r="K84" s="1456">
        <v>44106</v>
      </c>
      <c r="L84" s="1562" t="s">
        <v>578</v>
      </c>
      <c r="M84" s="566"/>
      <c r="N84" s="566"/>
      <c r="O84" s="673"/>
      <c r="P84" s="545"/>
      <c r="Q84" s="578"/>
      <c r="R84" s="579"/>
      <c r="S84" s="579"/>
      <c r="T84" s="674"/>
      <c r="U84" s="579"/>
      <c r="V84" s="579"/>
      <c r="W84" s="579"/>
      <c r="X84" s="579"/>
      <c r="Y84" s="579"/>
      <c r="Z84" s="579"/>
      <c r="AA84" s="579"/>
      <c r="AB84" s="579"/>
      <c r="AC84" s="579"/>
      <c r="AD84" s="545"/>
      <c r="AV84" s="545"/>
      <c r="AW84" s="545"/>
      <c r="AX84" s="545"/>
      <c r="AY84" s="545"/>
      <c r="AZ84" s="545"/>
      <c r="BA84" s="545"/>
      <c r="BB84" s="545"/>
      <c r="BC84" s="545"/>
      <c r="BD84" s="545"/>
      <c r="BE84" s="545"/>
      <c r="BF84" s="545"/>
    </row>
    <row r="85" spans="1:58" ht="30" customHeight="1" x14ac:dyDescent="0.2">
      <c r="A85" s="1524"/>
      <c r="B85" s="1525"/>
      <c r="C85" s="1512"/>
      <c r="D85" s="1481"/>
      <c r="E85" s="1516"/>
      <c r="F85" s="909">
        <v>752.61900000000003</v>
      </c>
      <c r="G85" s="910">
        <v>0.1</v>
      </c>
      <c r="H85" s="911">
        <v>0.99099999999999999</v>
      </c>
      <c r="I85" s="912">
        <v>8.4000000000000005E-2</v>
      </c>
      <c r="J85" s="1566">
        <v>2</v>
      </c>
      <c r="K85" s="1457">
        <v>42671</v>
      </c>
      <c r="L85" s="1563" t="s">
        <v>286</v>
      </c>
      <c r="M85" s="566"/>
      <c r="N85" s="566"/>
      <c r="O85" s="673"/>
      <c r="P85" s="545"/>
      <c r="Q85" s="578"/>
      <c r="R85" s="579"/>
      <c r="S85" s="579"/>
      <c r="T85" s="674"/>
      <c r="U85" s="579"/>
      <c r="V85" s="579"/>
      <c r="W85" s="579"/>
      <c r="X85" s="579"/>
      <c r="Y85" s="579"/>
      <c r="Z85" s="579"/>
      <c r="AA85" s="579"/>
      <c r="AB85" s="579"/>
      <c r="AC85" s="579"/>
      <c r="AD85" s="545"/>
      <c r="AV85" s="545"/>
      <c r="AW85" s="545"/>
      <c r="AX85" s="545"/>
      <c r="AY85" s="545"/>
      <c r="AZ85" s="545"/>
      <c r="BA85" s="545"/>
      <c r="BB85" s="545"/>
      <c r="BC85" s="545"/>
      <c r="BD85" s="545"/>
      <c r="BE85" s="545"/>
      <c r="BF85" s="545"/>
    </row>
    <row r="86" spans="1:58" ht="30" customHeight="1" thickBot="1" x14ac:dyDescent="0.25">
      <c r="A86" s="1526"/>
      <c r="B86" s="1527"/>
      <c r="C86" s="1513"/>
      <c r="D86" s="1482"/>
      <c r="E86" s="1517"/>
      <c r="F86" s="913">
        <v>1098.8340000000001</v>
      </c>
      <c r="G86" s="914">
        <v>0.1</v>
      </c>
      <c r="H86" s="915">
        <v>0.74</v>
      </c>
      <c r="I86" s="916">
        <v>0.14000000000000001</v>
      </c>
      <c r="J86" s="1567"/>
      <c r="K86" s="1458"/>
      <c r="L86" s="1564"/>
      <c r="M86" s="566"/>
      <c r="N86" s="566"/>
      <c r="O86" s="673"/>
      <c r="P86" s="545"/>
      <c r="Q86" s="578"/>
      <c r="R86" s="579"/>
      <c r="S86" s="579"/>
      <c r="T86" s="674"/>
      <c r="U86" s="579"/>
      <c r="V86" s="579"/>
      <c r="W86" s="579"/>
      <c r="X86" s="579"/>
      <c r="Y86" s="579"/>
      <c r="Z86" s="579"/>
      <c r="AA86" s="579"/>
      <c r="AB86" s="579"/>
      <c r="AC86" s="579"/>
      <c r="AD86" s="545"/>
      <c r="AV86" s="545"/>
      <c r="AW86" s="545"/>
      <c r="AX86" s="545"/>
      <c r="AY86" s="545"/>
      <c r="AZ86" s="545"/>
      <c r="BA86" s="545"/>
      <c r="BB86" s="545"/>
      <c r="BC86" s="545"/>
      <c r="BD86" s="545"/>
      <c r="BE86" s="545"/>
      <c r="BF86" s="545"/>
    </row>
    <row r="87" spans="1:58" ht="30" customHeight="1" x14ac:dyDescent="0.2">
      <c r="A87" s="545"/>
      <c r="B87" s="691"/>
      <c r="C87" s="545"/>
      <c r="D87" s="545"/>
      <c r="E87" s="566"/>
      <c r="F87" s="566"/>
      <c r="G87" s="566"/>
      <c r="H87" s="566"/>
      <c r="I87" s="566"/>
      <c r="J87" s="566"/>
      <c r="K87" s="566"/>
      <c r="L87" s="566"/>
      <c r="M87" s="566"/>
      <c r="N87" s="566"/>
      <c r="O87" s="673"/>
      <c r="P87" s="545"/>
      <c r="Q87" s="578"/>
      <c r="R87" s="579"/>
      <c r="S87" s="579"/>
      <c r="T87" s="674"/>
      <c r="U87" s="579"/>
      <c r="V87" s="579"/>
      <c r="W87" s="579"/>
      <c r="X87" s="579"/>
      <c r="Y87" s="579"/>
      <c r="Z87" s="579"/>
      <c r="AA87" s="579"/>
      <c r="AB87" s="579"/>
      <c r="AC87" s="579"/>
      <c r="AD87" s="545"/>
      <c r="AV87" s="545"/>
      <c r="AW87" s="545"/>
      <c r="AX87" s="545"/>
      <c r="AY87" s="545"/>
      <c r="AZ87" s="545"/>
      <c r="BA87" s="545"/>
      <c r="BB87" s="545"/>
      <c r="BC87" s="545"/>
      <c r="BD87" s="545"/>
      <c r="BE87" s="545"/>
      <c r="BF87" s="545"/>
    </row>
    <row r="88" spans="1:58" ht="30" customHeight="1" thickBot="1" x14ac:dyDescent="0.25">
      <c r="A88" s="545"/>
      <c r="B88" s="691"/>
      <c r="C88" s="693"/>
      <c r="D88" s="692"/>
      <c r="E88" s="694"/>
      <c r="F88" s="596"/>
      <c r="G88" s="596"/>
      <c r="H88" s="596"/>
      <c r="I88" s="596"/>
      <c r="J88" s="596"/>
      <c r="K88" s="687"/>
      <c r="L88" s="566"/>
      <c r="M88" s="566"/>
      <c r="N88" s="566"/>
      <c r="O88" s="673"/>
      <c r="P88" s="545"/>
      <c r="Q88" s="578"/>
      <c r="R88" s="579"/>
      <c r="S88" s="579"/>
      <c r="T88" s="674"/>
      <c r="U88" s="579"/>
      <c r="V88" s="579"/>
      <c r="W88" s="579"/>
      <c r="X88" s="579"/>
      <c r="Y88" s="579"/>
      <c r="Z88" s="579"/>
      <c r="AA88" s="579"/>
      <c r="AB88" s="579"/>
      <c r="AC88" s="579"/>
      <c r="AD88" s="545"/>
      <c r="AV88" s="545"/>
      <c r="AW88" s="545"/>
      <c r="AX88" s="545"/>
      <c r="AY88" s="545"/>
      <c r="AZ88" s="545"/>
      <c r="BA88" s="545"/>
      <c r="BB88" s="545"/>
      <c r="BC88" s="545"/>
      <c r="BD88" s="545"/>
      <c r="BE88" s="545"/>
      <c r="BF88" s="545"/>
    </row>
    <row r="89" spans="1:58" ht="30" customHeight="1" x14ac:dyDescent="0.2">
      <c r="A89" s="1489" t="s">
        <v>27</v>
      </c>
      <c r="B89" s="1480"/>
      <c r="C89" s="1521" t="s">
        <v>288</v>
      </c>
      <c r="D89" s="1480" t="s">
        <v>233</v>
      </c>
      <c r="E89" s="1514" t="s">
        <v>398</v>
      </c>
      <c r="F89" s="869">
        <v>15.2</v>
      </c>
      <c r="G89" s="638">
        <v>0.1</v>
      </c>
      <c r="H89" s="870">
        <v>0</v>
      </c>
      <c r="I89" s="924">
        <v>0.3</v>
      </c>
      <c r="J89" s="1571">
        <v>2</v>
      </c>
      <c r="K89" s="1454">
        <v>44000</v>
      </c>
      <c r="L89" s="1449" t="s">
        <v>547</v>
      </c>
      <c r="M89" s="566"/>
      <c r="N89" s="566"/>
      <c r="O89" s="1491" t="s">
        <v>289</v>
      </c>
      <c r="P89" s="712" t="s">
        <v>3</v>
      </c>
      <c r="Q89" s="963" t="s">
        <v>439</v>
      </c>
      <c r="R89" s="963" t="s">
        <v>15</v>
      </c>
      <c r="S89" s="1454" t="s">
        <v>550</v>
      </c>
      <c r="T89" s="1449" t="s">
        <v>551</v>
      </c>
      <c r="U89" s="579"/>
      <c r="V89" s="579"/>
      <c r="W89" s="579"/>
      <c r="X89" s="579"/>
      <c r="Y89" s="579"/>
      <c r="Z89" s="579"/>
      <c r="AA89" s="579"/>
      <c r="AB89" s="579"/>
      <c r="AC89" s="579"/>
      <c r="AD89" s="545"/>
      <c r="AV89" s="545"/>
      <c r="AW89" s="545"/>
      <c r="AX89" s="545"/>
      <c r="AY89" s="545"/>
      <c r="AZ89" s="545"/>
      <c r="BA89" s="545"/>
      <c r="BB89" s="545"/>
      <c r="BC89" s="545"/>
      <c r="BD89" s="545"/>
      <c r="BE89" s="545"/>
      <c r="BF89" s="545"/>
    </row>
    <row r="90" spans="1:58" ht="30" customHeight="1" x14ac:dyDescent="0.2">
      <c r="A90" s="1490"/>
      <c r="B90" s="1481"/>
      <c r="C90" s="1516"/>
      <c r="D90" s="1481"/>
      <c r="E90" s="1515"/>
      <c r="F90" s="872">
        <v>24.8</v>
      </c>
      <c r="G90" s="655">
        <v>0.1</v>
      </c>
      <c r="H90" s="882">
        <v>0</v>
      </c>
      <c r="I90" s="925">
        <v>0.2</v>
      </c>
      <c r="J90" s="1530"/>
      <c r="K90" s="1444"/>
      <c r="L90" s="1447"/>
      <c r="M90" s="566"/>
      <c r="N90" s="566"/>
      <c r="O90" s="1492"/>
      <c r="P90" s="955">
        <f>MAX(I89:I91)</f>
        <v>0.3</v>
      </c>
      <c r="Q90" s="964">
        <f>MAX(I92:I94)</f>
        <v>1.7</v>
      </c>
      <c r="R90" s="964">
        <f>MAX(I95:I97)</f>
        <v>9.5000000000000001E-2</v>
      </c>
      <c r="S90" s="1443"/>
      <c r="T90" s="1450"/>
      <c r="U90" s="579"/>
      <c r="V90" s="579"/>
      <c r="W90" s="579"/>
      <c r="X90" s="579"/>
      <c r="Y90" s="579"/>
      <c r="Z90" s="579"/>
      <c r="AA90" s="579"/>
      <c r="AB90" s="579"/>
      <c r="AC90" s="579"/>
      <c r="AD90" s="545"/>
      <c r="AV90" s="545"/>
      <c r="AW90" s="545"/>
      <c r="AX90" s="545"/>
      <c r="AY90" s="545"/>
      <c r="AZ90" s="545"/>
      <c r="BA90" s="545"/>
      <c r="BB90" s="545"/>
      <c r="BC90" s="545"/>
      <c r="BD90" s="545"/>
      <c r="BE90" s="545"/>
      <c r="BF90" s="545"/>
    </row>
    <row r="91" spans="1:58" ht="30" customHeight="1" thickBot="1" x14ac:dyDescent="0.25">
      <c r="A91" s="1490"/>
      <c r="B91" s="1481"/>
      <c r="C91" s="1516"/>
      <c r="D91" s="1481"/>
      <c r="E91" s="1515"/>
      <c r="F91" s="876">
        <v>29.8</v>
      </c>
      <c r="G91" s="657">
        <v>0.1</v>
      </c>
      <c r="H91" s="884">
        <v>-0.1</v>
      </c>
      <c r="I91" s="926">
        <v>0.2</v>
      </c>
      <c r="J91" s="1530">
        <v>1.96</v>
      </c>
      <c r="K91" s="1444"/>
      <c r="L91" s="1447"/>
      <c r="M91" s="566"/>
      <c r="N91" s="566"/>
      <c r="O91" s="1493"/>
      <c r="P91" s="965"/>
      <c r="Q91" s="966"/>
      <c r="R91" s="966"/>
      <c r="S91" s="1465"/>
      <c r="T91" s="1455"/>
      <c r="U91" s="579"/>
      <c r="V91" s="579"/>
      <c r="W91" s="579"/>
      <c r="X91" s="579"/>
      <c r="Y91" s="579"/>
      <c r="Z91" s="579"/>
      <c r="AA91" s="579"/>
      <c r="AB91" s="579"/>
      <c r="AC91" s="579"/>
      <c r="AD91" s="545"/>
      <c r="AV91" s="545"/>
      <c r="AW91" s="545"/>
      <c r="AX91" s="545"/>
      <c r="AY91" s="545"/>
      <c r="AZ91" s="545"/>
      <c r="BA91" s="545"/>
      <c r="BB91" s="545"/>
      <c r="BC91" s="545"/>
      <c r="BD91" s="545"/>
      <c r="BE91" s="545"/>
      <c r="BF91" s="545"/>
    </row>
    <row r="92" spans="1:58" ht="30" customHeight="1" x14ac:dyDescent="0.2">
      <c r="A92" s="1471" t="s">
        <v>280</v>
      </c>
      <c r="B92" s="1472"/>
      <c r="C92" s="1516"/>
      <c r="D92" s="1481"/>
      <c r="E92" s="1515"/>
      <c r="F92" s="869">
        <v>32.9</v>
      </c>
      <c r="G92" s="638">
        <v>0.1</v>
      </c>
      <c r="H92" s="638">
        <v>-3</v>
      </c>
      <c r="I92" s="927">
        <v>1.7</v>
      </c>
      <c r="J92" s="1529">
        <v>2</v>
      </c>
      <c r="K92" s="1443">
        <v>44001</v>
      </c>
      <c r="L92" s="1450" t="s">
        <v>548</v>
      </c>
      <c r="M92" s="566"/>
      <c r="N92" s="566"/>
      <c r="O92" s="673"/>
      <c r="P92" s="545"/>
      <c r="Q92" s="578"/>
      <c r="R92" s="579"/>
      <c r="S92" s="579"/>
      <c r="T92" s="674"/>
      <c r="U92" s="579"/>
      <c r="V92" s="579"/>
      <c r="W92" s="579"/>
      <c r="X92" s="579"/>
      <c r="Y92" s="579"/>
      <c r="Z92" s="579"/>
      <c r="AA92" s="579"/>
      <c r="AB92" s="579"/>
      <c r="AC92" s="579"/>
      <c r="AD92" s="545"/>
      <c r="AV92" s="545"/>
      <c r="AW92" s="545"/>
      <c r="AX92" s="545"/>
      <c r="AY92" s="545"/>
      <c r="AZ92" s="545"/>
      <c r="BA92" s="545"/>
      <c r="BB92" s="545"/>
      <c r="BC92" s="545"/>
      <c r="BD92" s="545"/>
      <c r="BE92" s="545"/>
      <c r="BF92" s="545"/>
    </row>
    <row r="93" spans="1:58" ht="30" customHeight="1" x14ac:dyDescent="0.2">
      <c r="A93" s="1471"/>
      <c r="B93" s="1472"/>
      <c r="C93" s="1516"/>
      <c r="D93" s="1481"/>
      <c r="E93" s="1515"/>
      <c r="F93" s="872">
        <v>51.2</v>
      </c>
      <c r="G93" s="655">
        <v>0.1</v>
      </c>
      <c r="H93" s="655">
        <v>-1.2</v>
      </c>
      <c r="I93" s="928">
        <v>1.7</v>
      </c>
      <c r="J93" s="1530">
        <v>1.96</v>
      </c>
      <c r="K93" s="1444"/>
      <c r="L93" s="1447"/>
      <c r="M93" s="566"/>
      <c r="N93" s="566"/>
      <c r="O93" s="673"/>
      <c r="P93" s="545"/>
      <c r="Q93" s="578"/>
      <c r="R93" s="579"/>
      <c r="S93" s="579"/>
      <c r="T93" s="674"/>
      <c r="U93" s="579"/>
      <c r="V93" s="579"/>
      <c r="W93" s="579"/>
      <c r="X93" s="579"/>
      <c r="Y93" s="579"/>
      <c r="Z93" s="579"/>
      <c r="AA93" s="579"/>
      <c r="AB93" s="579"/>
      <c r="AC93" s="579"/>
      <c r="AD93" s="545"/>
      <c r="AV93" s="545"/>
      <c r="AW93" s="545"/>
      <c r="AX93" s="545"/>
      <c r="AY93" s="545"/>
      <c r="AZ93" s="545"/>
      <c r="BA93" s="545"/>
      <c r="BB93" s="545"/>
      <c r="BC93" s="545"/>
      <c r="BD93" s="545"/>
      <c r="BE93" s="545"/>
      <c r="BF93" s="545"/>
    </row>
    <row r="94" spans="1:58" ht="30" customHeight="1" thickBot="1" x14ac:dyDescent="0.25">
      <c r="A94" s="1471"/>
      <c r="B94" s="1472"/>
      <c r="C94" s="1516"/>
      <c r="D94" s="1481"/>
      <c r="E94" s="1515"/>
      <c r="F94" s="883">
        <v>77.599999999999994</v>
      </c>
      <c r="G94" s="657">
        <v>0.1</v>
      </c>
      <c r="H94" s="657">
        <v>2.4</v>
      </c>
      <c r="I94" s="929">
        <v>1.7</v>
      </c>
      <c r="J94" s="1530"/>
      <c r="K94" s="1444"/>
      <c r="L94" s="1447"/>
      <c r="M94" s="566"/>
      <c r="N94" s="566"/>
      <c r="O94" s="673"/>
      <c r="P94" s="545"/>
      <c r="Q94" s="578"/>
      <c r="R94" s="579"/>
      <c r="S94" s="579"/>
      <c r="T94" s="674"/>
      <c r="U94" s="579"/>
      <c r="V94" s="579"/>
      <c r="W94" s="579"/>
      <c r="X94" s="579"/>
      <c r="Y94" s="579"/>
      <c r="Z94" s="579"/>
      <c r="AA94" s="579"/>
      <c r="AB94" s="579"/>
      <c r="AC94" s="579"/>
      <c r="AD94" s="545"/>
      <c r="AV94" s="545"/>
      <c r="AW94" s="545"/>
      <c r="AX94" s="545"/>
      <c r="AY94" s="545"/>
      <c r="AZ94" s="545"/>
      <c r="BA94" s="545"/>
      <c r="BB94" s="545"/>
      <c r="BC94" s="545"/>
      <c r="BD94" s="545"/>
      <c r="BE94" s="545"/>
      <c r="BF94" s="545"/>
    </row>
    <row r="95" spans="1:58" ht="30" customHeight="1" x14ac:dyDescent="0.2">
      <c r="A95" s="1471" t="s">
        <v>74</v>
      </c>
      <c r="B95" s="1472"/>
      <c r="C95" s="1516"/>
      <c r="D95" s="1481"/>
      <c r="E95" s="1516"/>
      <c r="F95" s="869">
        <v>598.11699999999996</v>
      </c>
      <c r="G95" s="638">
        <v>0.1</v>
      </c>
      <c r="H95" s="638">
        <v>1.4450000000000001</v>
      </c>
      <c r="I95" s="930">
        <v>7.9000000000000001E-2</v>
      </c>
      <c r="J95" s="1485">
        <v>2</v>
      </c>
      <c r="K95" s="1443">
        <v>43980</v>
      </c>
      <c r="L95" s="1446" t="s">
        <v>549</v>
      </c>
      <c r="M95" s="566"/>
      <c r="N95" s="566"/>
      <c r="O95" s="673"/>
      <c r="P95" s="545"/>
      <c r="Q95" s="578"/>
      <c r="R95" s="579"/>
      <c r="S95" s="579"/>
      <c r="T95" s="674"/>
      <c r="U95" s="579"/>
      <c r="V95" s="579"/>
      <c r="W95" s="579"/>
      <c r="X95" s="579"/>
      <c r="Y95" s="579"/>
      <c r="Z95" s="579"/>
      <c r="AA95" s="579"/>
      <c r="AB95" s="579"/>
      <c r="AC95" s="579"/>
      <c r="AD95" s="545"/>
      <c r="AV95" s="545"/>
      <c r="AW95" s="545"/>
      <c r="AX95" s="545"/>
      <c r="AY95" s="545"/>
      <c r="AZ95" s="545"/>
      <c r="BA95" s="545"/>
      <c r="BB95" s="545"/>
      <c r="BC95" s="545"/>
      <c r="BD95" s="545"/>
      <c r="BE95" s="545"/>
      <c r="BF95" s="545"/>
    </row>
    <row r="96" spans="1:58" ht="30" customHeight="1" x14ac:dyDescent="0.2">
      <c r="A96" s="1471"/>
      <c r="B96" s="1472"/>
      <c r="C96" s="1516"/>
      <c r="D96" s="1481"/>
      <c r="E96" s="1516"/>
      <c r="F96" s="899">
        <v>752.82</v>
      </c>
      <c r="G96" s="655">
        <v>0.1</v>
      </c>
      <c r="H96" s="931">
        <v>0.95399999999999996</v>
      </c>
      <c r="I96" s="901">
        <v>8.4000000000000005E-2</v>
      </c>
      <c r="J96" s="1486">
        <v>2</v>
      </c>
      <c r="K96" s="1444">
        <v>42625</v>
      </c>
      <c r="L96" s="1447" t="s">
        <v>263</v>
      </c>
      <c r="M96" s="566"/>
      <c r="N96" s="566"/>
      <c r="O96" s="673"/>
      <c r="P96" s="545"/>
      <c r="Q96" s="578"/>
      <c r="R96" s="579"/>
      <c r="S96" s="579"/>
      <c r="T96" s="674"/>
      <c r="U96" s="579"/>
      <c r="V96" s="579"/>
      <c r="W96" s="579"/>
      <c r="X96" s="579"/>
      <c r="Y96" s="579"/>
      <c r="Z96" s="579"/>
      <c r="AA96" s="579"/>
      <c r="AB96" s="579"/>
      <c r="AC96" s="579"/>
      <c r="AD96" s="545"/>
      <c r="AV96" s="545"/>
      <c r="AW96" s="545"/>
      <c r="AX96" s="545"/>
      <c r="AY96" s="545"/>
      <c r="AZ96" s="545"/>
      <c r="BA96" s="545"/>
      <c r="BB96" s="545"/>
      <c r="BC96" s="545"/>
      <c r="BD96" s="545"/>
      <c r="BE96" s="545"/>
      <c r="BF96" s="545"/>
    </row>
    <row r="97" spans="1:58" ht="30" customHeight="1" thickBot="1" x14ac:dyDescent="0.25">
      <c r="A97" s="1483"/>
      <c r="B97" s="1484"/>
      <c r="C97" s="1517"/>
      <c r="D97" s="1482"/>
      <c r="E97" s="1517"/>
      <c r="F97" s="902">
        <v>848.553</v>
      </c>
      <c r="G97" s="657">
        <v>0.1</v>
      </c>
      <c r="H97" s="657">
        <v>0.70399999999999996</v>
      </c>
      <c r="I97" s="904">
        <v>9.5000000000000001E-2</v>
      </c>
      <c r="J97" s="1487"/>
      <c r="K97" s="1445"/>
      <c r="L97" s="1448"/>
      <c r="M97" s="566"/>
      <c r="N97" s="566"/>
      <c r="O97" s="673"/>
      <c r="P97" s="545"/>
      <c r="Q97" s="578"/>
      <c r="R97" s="579"/>
      <c r="S97" s="579"/>
      <c r="T97" s="674"/>
      <c r="U97" s="579"/>
      <c r="V97" s="579"/>
      <c r="W97" s="579"/>
      <c r="X97" s="579"/>
      <c r="Y97" s="579"/>
      <c r="Z97" s="579"/>
      <c r="AA97" s="579"/>
      <c r="AB97" s="579"/>
      <c r="AC97" s="579"/>
      <c r="AD97" s="545"/>
      <c r="AV97" s="545"/>
      <c r="AW97" s="545"/>
      <c r="AX97" s="545"/>
      <c r="AY97" s="545"/>
      <c r="AZ97" s="545"/>
      <c r="BA97" s="545"/>
      <c r="BB97" s="545"/>
      <c r="BC97" s="545"/>
      <c r="BD97" s="545"/>
      <c r="BE97" s="545"/>
      <c r="BF97" s="545"/>
    </row>
    <row r="98" spans="1:58" ht="30" customHeight="1" x14ac:dyDescent="0.2">
      <c r="A98" s="545"/>
      <c r="B98" s="691"/>
      <c r="C98" s="545"/>
      <c r="D98" s="545"/>
      <c r="E98" s="566"/>
      <c r="F98" s="566"/>
      <c r="G98" s="566"/>
      <c r="H98" s="566"/>
      <c r="I98" s="566"/>
      <c r="J98" s="566"/>
      <c r="K98" s="566"/>
      <c r="L98" s="566"/>
      <c r="M98" s="566"/>
      <c r="N98" s="566"/>
      <c r="O98" s="673"/>
      <c r="P98" s="545"/>
      <c r="Q98" s="578"/>
      <c r="R98" s="579"/>
      <c r="S98" s="579"/>
      <c r="T98" s="674"/>
      <c r="U98" s="579"/>
      <c r="V98" s="579"/>
      <c r="W98" s="579"/>
      <c r="X98" s="579"/>
      <c r="Y98" s="579"/>
      <c r="Z98" s="579"/>
      <c r="AA98" s="579"/>
      <c r="AB98" s="579"/>
      <c r="AC98" s="579"/>
      <c r="AD98" s="545"/>
      <c r="AV98" s="545"/>
      <c r="AW98" s="545"/>
      <c r="AX98" s="545"/>
      <c r="AY98" s="545"/>
      <c r="AZ98" s="545"/>
      <c r="BA98" s="545"/>
      <c r="BB98" s="545"/>
      <c r="BC98" s="545"/>
      <c r="BD98" s="545"/>
      <c r="BE98" s="545"/>
      <c r="BF98" s="545"/>
    </row>
    <row r="99" spans="1:58" ht="30" customHeight="1" thickBot="1" x14ac:dyDescent="0.25">
      <c r="A99" s="545"/>
      <c r="B99" s="691"/>
      <c r="C99" s="693"/>
      <c r="D99" s="692"/>
      <c r="E99" s="694"/>
      <c r="F99" s="596"/>
      <c r="G99" s="596"/>
      <c r="H99" s="596"/>
      <c r="I99" s="596"/>
      <c r="J99" s="596"/>
      <c r="K99" s="687"/>
      <c r="L99" s="566"/>
      <c r="M99" s="566"/>
      <c r="N99" s="566"/>
      <c r="O99" s="673"/>
      <c r="P99" s="545"/>
      <c r="Q99" s="578"/>
      <c r="R99" s="579"/>
      <c r="S99" s="579"/>
      <c r="T99" s="674"/>
      <c r="U99" s="579"/>
      <c r="V99" s="579"/>
      <c r="W99" s="579"/>
      <c r="X99" s="579"/>
      <c r="Y99" s="579"/>
      <c r="Z99" s="579"/>
      <c r="AA99" s="579"/>
      <c r="AB99" s="579"/>
      <c r="AC99" s="579"/>
      <c r="AD99" s="545"/>
      <c r="AV99" s="545"/>
      <c r="AW99" s="545"/>
      <c r="AX99" s="545"/>
      <c r="AY99" s="545"/>
      <c r="AZ99" s="545"/>
      <c r="BA99" s="545"/>
      <c r="BB99" s="545"/>
      <c r="BC99" s="545"/>
      <c r="BD99" s="545"/>
      <c r="BE99" s="545"/>
      <c r="BF99" s="545"/>
    </row>
    <row r="100" spans="1:58" ht="30" customHeight="1" x14ac:dyDescent="0.2">
      <c r="A100" s="1489" t="s">
        <v>27</v>
      </c>
      <c r="B100" s="1480"/>
      <c r="C100" s="1494" t="s">
        <v>290</v>
      </c>
      <c r="D100" s="1480" t="s">
        <v>233</v>
      </c>
      <c r="E100" s="1570" t="s">
        <v>291</v>
      </c>
      <c r="F100" s="869">
        <v>15.1</v>
      </c>
      <c r="G100" s="638">
        <v>0.1</v>
      </c>
      <c r="H100" s="870">
        <v>0.2</v>
      </c>
      <c r="I100" s="932">
        <v>0.3</v>
      </c>
      <c r="J100" s="1488">
        <v>2</v>
      </c>
      <c r="K100" s="1454">
        <v>44019</v>
      </c>
      <c r="L100" s="1449" t="s">
        <v>552</v>
      </c>
      <c r="M100" s="566"/>
      <c r="N100" s="566"/>
      <c r="O100" s="1491" t="s">
        <v>294</v>
      </c>
      <c r="P100" s="712" t="s">
        <v>3</v>
      </c>
      <c r="Q100" s="963" t="s">
        <v>439</v>
      </c>
      <c r="R100" s="963" t="s">
        <v>15</v>
      </c>
      <c r="S100" s="1454" t="s">
        <v>555</v>
      </c>
      <c r="T100" s="1449" t="s">
        <v>556</v>
      </c>
      <c r="U100" s="579"/>
      <c r="V100" s="579"/>
      <c r="W100" s="579"/>
      <c r="X100" s="579"/>
      <c r="Y100" s="579"/>
      <c r="Z100" s="579"/>
      <c r="AA100" s="579"/>
      <c r="AB100" s="579"/>
      <c r="AC100" s="579"/>
      <c r="AD100" s="545"/>
      <c r="AV100" s="545"/>
      <c r="AW100" s="545"/>
      <c r="AX100" s="545"/>
      <c r="AY100" s="545"/>
      <c r="AZ100" s="545"/>
      <c r="BA100" s="545"/>
      <c r="BB100" s="545"/>
      <c r="BC100" s="545"/>
      <c r="BD100" s="545"/>
      <c r="BE100" s="545"/>
      <c r="BF100" s="545"/>
    </row>
    <row r="101" spans="1:58" ht="30" customHeight="1" x14ac:dyDescent="0.2">
      <c r="A101" s="1490"/>
      <c r="B101" s="1481"/>
      <c r="C101" s="1495"/>
      <c r="D101" s="1481"/>
      <c r="E101" s="1515"/>
      <c r="F101" s="881">
        <v>24.8</v>
      </c>
      <c r="G101" s="655">
        <v>0.1</v>
      </c>
      <c r="H101" s="882">
        <v>-0.1</v>
      </c>
      <c r="I101" s="933">
        <v>0.2</v>
      </c>
      <c r="J101" s="1474"/>
      <c r="K101" s="1444"/>
      <c r="L101" s="1447"/>
      <c r="M101" s="566"/>
      <c r="N101" s="566"/>
      <c r="O101" s="1492"/>
      <c r="P101" s="955">
        <f>MAX(I100:I102)</f>
        <v>0.3</v>
      </c>
      <c r="Q101" s="964">
        <f>MAX(I103:I105)</f>
        <v>1.7</v>
      </c>
      <c r="R101" s="964">
        <f>MAX(I106:I108)</f>
        <v>9.9000000000000005E-2</v>
      </c>
      <c r="S101" s="1443"/>
      <c r="T101" s="1450"/>
      <c r="U101" s="579"/>
      <c r="V101" s="579"/>
      <c r="W101" s="579"/>
      <c r="X101" s="579"/>
      <c r="Y101" s="579"/>
      <c r="Z101" s="579"/>
      <c r="AA101" s="579"/>
      <c r="AB101" s="579"/>
      <c r="AC101" s="579"/>
      <c r="AD101" s="545"/>
      <c r="AV101" s="545"/>
      <c r="AW101" s="545"/>
      <c r="AX101" s="545"/>
      <c r="AY101" s="545"/>
      <c r="AZ101" s="545"/>
      <c r="BA101" s="545"/>
      <c r="BB101" s="545"/>
      <c r="BC101" s="545"/>
      <c r="BD101" s="545"/>
      <c r="BE101" s="545"/>
      <c r="BF101" s="545"/>
    </row>
    <row r="102" spans="1:58" ht="30" customHeight="1" thickBot="1" x14ac:dyDescent="0.25">
      <c r="A102" s="1490"/>
      <c r="B102" s="1481"/>
      <c r="C102" s="1495"/>
      <c r="D102" s="1481"/>
      <c r="E102" s="1515"/>
      <c r="F102" s="876">
        <v>29.7</v>
      </c>
      <c r="G102" s="657">
        <v>0.1</v>
      </c>
      <c r="H102" s="884">
        <v>-0.3</v>
      </c>
      <c r="I102" s="934">
        <v>0.2</v>
      </c>
      <c r="J102" s="1474"/>
      <c r="K102" s="1444"/>
      <c r="L102" s="1447"/>
      <c r="M102" s="566"/>
      <c r="N102" s="566"/>
      <c r="O102" s="1493"/>
      <c r="P102" s="965"/>
      <c r="Q102" s="966"/>
      <c r="R102" s="966"/>
      <c r="S102" s="1465"/>
      <c r="T102" s="1455"/>
      <c r="U102" s="579"/>
      <c r="V102" s="579"/>
      <c r="W102" s="579"/>
      <c r="X102" s="579"/>
      <c r="Y102" s="579"/>
      <c r="Z102" s="579"/>
      <c r="AA102" s="579"/>
      <c r="AB102" s="579"/>
      <c r="AC102" s="579"/>
      <c r="AD102" s="545"/>
      <c r="AV102" s="545"/>
      <c r="AW102" s="545"/>
      <c r="AX102" s="545"/>
      <c r="AY102" s="545"/>
      <c r="AZ102" s="545"/>
      <c r="BA102" s="545"/>
      <c r="BB102" s="545"/>
      <c r="BC102" s="545"/>
      <c r="BD102" s="545"/>
      <c r="BE102" s="545"/>
      <c r="BF102" s="545"/>
    </row>
    <row r="103" spans="1:58" ht="30" customHeight="1" x14ac:dyDescent="0.2">
      <c r="A103" s="1471" t="s">
        <v>280</v>
      </c>
      <c r="B103" s="1472"/>
      <c r="C103" s="1495"/>
      <c r="D103" s="1481"/>
      <c r="E103" s="1515"/>
      <c r="F103" s="869">
        <v>33.200000000000003</v>
      </c>
      <c r="G103" s="638">
        <v>0.1</v>
      </c>
      <c r="H103" s="638">
        <v>-3.2</v>
      </c>
      <c r="I103" s="927">
        <v>1.7</v>
      </c>
      <c r="J103" s="1473">
        <v>2</v>
      </c>
      <c r="K103" s="1443">
        <v>44020</v>
      </c>
      <c r="L103" s="1450" t="s">
        <v>553</v>
      </c>
      <c r="M103" s="566"/>
      <c r="N103" s="566"/>
      <c r="O103" s="673"/>
      <c r="P103" s="545"/>
      <c r="Q103" s="578"/>
      <c r="R103" s="579"/>
      <c r="S103" s="579"/>
      <c r="T103" s="674"/>
      <c r="U103" s="579"/>
      <c r="V103" s="579"/>
      <c r="W103" s="579"/>
      <c r="X103" s="579"/>
      <c r="Y103" s="579"/>
      <c r="Z103" s="579"/>
      <c r="AA103" s="579"/>
      <c r="AB103" s="579"/>
      <c r="AC103" s="579"/>
      <c r="AD103" s="545"/>
      <c r="AV103" s="545"/>
      <c r="AW103" s="545"/>
      <c r="AX103" s="545"/>
      <c r="AY103" s="545"/>
      <c r="AZ103" s="545"/>
      <c r="BA103" s="545"/>
      <c r="BB103" s="545"/>
      <c r="BC103" s="545"/>
      <c r="BD103" s="545"/>
      <c r="BE103" s="545"/>
      <c r="BF103" s="545"/>
    </row>
    <row r="104" spans="1:58" ht="30" customHeight="1" x14ac:dyDescent="0.2">
      <c r="A104" s="1471"/>
      <c r="B104" s="1472"/>
      <c r="C104" s="1495"/>
      <c r="D104" s="1481"/>
      <c r="E104" s="1515"/>
      <c r="F104" s="872">
        <v>51.4</v>
      </c>
      <c r="G104" s="655">
        <v>0.1</v>
      </c>
      <c r="H104" s="655">
        <v>-1.5</v>
      </c>
      <c r="I104" s="935">
        <v>1.7</v>
      </c>
      <c r="J104" s="1474"/>
      <c r="K104" s="1444"/>
      <c r="L104" s="1447"/>
      <c r="M104" s="566"/>
      <c r="N104" s="566"/>
      <c r="O104" s="673"/>
      <c r="P104" s="545"/>
      <c r="Q104" s="578"/>
      <c r="R104" s="579"/>
      <c r="S104" s="579"/>
      <c r="T104" s="674"/>
      <c r="U104" s="579"/>
      <c r="V104" s="579"/>
      <c r="W104" s="579"/>
      <c r="X104" s="579"/>
      <c r="Y104" s="579"/>
      <c r="Z104" s="579"/>
      <c r="AA104" s="579"/>
      <c r="AB104" s="579"/>
      <c r="AC104" s="579"/>
      <c r="AD104" s="545"/>
      <c r="AV104" s="545"/>
      <c r="AW104" s="545"/>
      <c r="AX104" s="545"/>
      <c r="AY104" s="545"/>
      <c r="AZ104" s="545"/>
      <c r="BA104" s="545"/>
      <c r="BB104" s="545"/>
      <c r="BC104" s="545"/>
      <c r="BD104" s="545"/>
      <c r="BE104" s="545"/>
      <c r="BF104" s="545"/>
    </row>
    <row r="105" spans="1:58" ht="30" customHeight="1" thickBot="1" x14ac:dyDescent="0.25">
      <c r="A105" s="1471"/>
      <c r="B105" s="1472"/>
      <c r="C105" s="1495"/>
      <c r="D105" s="1481"/>
      <c r="E105" s="1515"/>
      <c r="F105" s="883">
        <v>77.599999999999994</v>
      </c>
      <c r="G105" s="657">
        <v>0.1</v>
      </c>
      <c r="H105" s="657">
        <v>2.5</v>
      </c>
      <c r="I105" s="936">
        <v>1.7</v>
      </c>
      <c r="J105" s="1474"/>
      <c r="K105" s="1444"/>
      <c r="L105" s="1447"/>
      <c r="M105" s="566"/>
      <c r="N105" s="566"/>
      <c r="O105" s="673"/>
      <c r="P105" s="545"/>
      <c r="Q105" s="578"/>
      <c r="R105" s="579"/>
      <c r="S105" s="579"/>
      <c r="T105" s="674"/>
      <c r="U105" s="579"/>
      <c r="V105" s="579"/>
      <c r="W105" s="579"/>
      <c r="X105" s="579"/>
      <c r="Y105" s="579"/>
      <c r="Z105" s="579"/>
      <c r="AA105" s="579"/>
      <c r="AB105" s="579"/>
      <c r="AC105" s="579"/>
      <c r="AD105" s="545"/>
      <c r="AV105" s="545"/>
      <c r="AW105" s="545"/>
      <c r="AX105" s="545"/>
      <c r="AY105" s="545"/>
      <c r="AZ105" s="545"/>
      <c r="BA105" s="545"/>
      <c r="BB105" s="545"/>
      <c r="BC105" s="545"/>
      <c r="BD105" s="545"/>
      <c r="BE105" s="545"/>
      <c r="BF105" s="545"/>
    </row>
    <row r="106" spans="1:58" ht="30" customHeight="1" x14ac:dyDescent="0.2">
      <c r="A106" s="1471" t="s">
        <v>74</v>
      </c>
      <c r="B106" s="1472"/>
      <c r="C106" s="1495"/>
      <c r="D106" s="1481"/>
      <c r="E106" s="1516"/>
      <c r="F106" s="937">
        <v>598.08199999999999</v>
      </c>
      <c r="G106" s="873">
        <v>0.1</v>
      </c>
      <c r="H106" s="873">
        <v>1.4830000000000001</v>
      </c>
      <c r="I106" s="938">
        <v>0.08</v>
      </c>
      <c r="J106" s="1485">
        <v>1.96</v>
      </c>
      <c r="K106" s="1443">
        <v>43980</v>
      </c>
      <c r="L106" s="1446" t="s">
        <v>554</v>
      </c>
      <c r="M106" s="566"/>
      <c r="N106" s="566"/>
      <c r="O106" s="673"/>
      <c r="P106" s="545"/>
      <c r="Q106" s="578"/>
      <c r="R106" s="579"/>
      <c r="S106" s="579"/>
      <c r="T106" s="674"/>
      <c r="U106" s="579"/>
      <c r="V106" s="579"/>
      <c r="W106" s="579"/>
      <c r="X106" s="579"/>
      <c r="Y106" s="579"/>
      <c r="Z106" s="579"/>
      <c r="AA106" s="579"/>
      <c r="AB106" s="579"/>
      <c r="AC106" s="579"/>
      <c r="AD106" s="545"/>
      <c r="AV106" s="545"/>
      <c r="AW106" s="545"/>
      <c r="AX106" s="545"/>
      <c r="AY106" s="545"/>
      <c r="AZ106" s="545"/>
      <c r="BA106" s="545"/>
      <c r="BB106" s="545"/>
      <c r="BC106" s="545"/>
      <c r="BD106" s="545"/>
      <c r="BE106" s="545"/>
      <c r="BF106" s="545"/>
    </row>
    <row r="107" spans="1:58" ht="30" customHeight="1" x14ac:dyDescent="0.2">
      <c r="A107" s="1471"/>
      <c r="B107" s="1472"/>
      <c r="C107" s="1495"/>
      <c r="D107" s="1481"/>
      <c r="E107" s="1516"/>
      <c r="F107" s="872">
        <v>752.79499999999996</v>
      </c>
      <c r="G107" s="655">
        <v>0.1</v>
      </c>
      <c r="H107" s="662">
        <v>0.97299999999999998</v>
      </c>
      <c r="I107" s="901">
        <v>8.4000000000000005E-2</v>
      </c>
      <c r="J107" s="1486">
        <v>1.96</v>
      </c>
      <c r="K107" s="1444">
        <v>42586</v>
      </c>
      <c r="L107" s="1447" t="s">
        <v>292</v>
      </c>
      <c r="M107" s="566"/>
      <c r="N107" s="566"/>
      <c r="O107" s="673"/>
      <c r="P107" s="545"/>
      <c r="Q107" s="578"/>
      <c r="R107" s="579"/>
      <c r="S107" s="579"/>
      <c r="T107" s="674"/>
      <c r="U107" s="579"/>
      <c r="V107" s="579"/>
      <c r="W107" s="579"/>
      <c r="X107" s="579"/>
      <c r="Y107" s="579"/>
      <c r="Z107" s="579"/>
      <c r="AA107" s="579"/>
      <c r="AB107" s="579"/>
      <c r="AC107" s="579"/>
      <c r="AD107" s="545"/>
      <c r="AV107" s="545"/>
      <c r="AW107" s="545"/>
      <c r="AX107" s="545"/>
      <c r="AY107" s="545"/>
      <c r="AZ107" s="545"/>
      <c r="BA107" s="545"/>
      <c r="BB107" s="545"/>
      <c r="BC107" s="545"/>
      <c r="BD107" s="545"/>
      <c r="BE107" s="545"/>
      <c r="BF107" s="545"/>
    </row>
    <row r="108" spans="1:58" ht="30" customHeight="1" thickBot="1" x14ac:dyDescent="0.25">
      <c r="A108" s="1483"/>
      <c r="B108" s="1484"/>
      <c r="C108" s="1496"/>
      <c r="D108" s="1482"/>
      <c r="E108" s="1517"/>
      <c r="F108" s="902">
        <v>848.6</v>
      </c>
      <c r="G108" s="657">
        <v>0.1</v>
      </c>
      <c r="H108" s="657">
        <v>0.65600000000000003</v>
      </c>
      <c r="I108" s="904">
        <v>9.9000000000000005E-2</v>
      </c>
      <c r="J108" s="1487">
        <v>2</v>
      </c>
      <c r="K108" s="1445">
        <v>42625</v>
      </c>
      <c r="L108" s="1448" t="s">
        <v>293</v>
      </c>
      <c r="M108" s="566"/>
      <c r="N108" s="566"/>
      <c r="O108" s="695"/>
      <c r="P108" s="696"/>
      <c r="Q108" s="697"/>
      <c r="R108" s="698"/>
      <c r="S108" s="698"/>
      <c r="T108" s="699"/>
      <c r="U108" s="579"/>
      <c r="V108" s="579"/>
      <c r="W108" s="579"/>
      <c r="X108" s="579"/>
      <c r="Y108" s="579"/>
      <c r="Z108" s="579"/>
      <c r="AA108" s="579"/>
      <c r="AB108" s="579"/>
      <c r="AC108" s="579"/>
      <c r="AD108" s="545"/>
      <c r="AV108" s="545"/>
      <c r="AW108" s="545"/>
      <c r="AX108" s="545"/>
      <c r="AY108" s="545"/>
      <c r="AZ108" s="545"/>
      <c r="BA108" s="545"/>
      <c r="BB108" s="545"/>
      <c r="BC108" s="545"/>
      <c r="BD108" s="545"/>
      <c r="BE108" s="545"/>
      <c r="BF108" s="545"/>
    </row>
    <row r="109" spans="1:58" ht="30" customHeight="1" thickBot="1" x14ac:dyDescent="0.25">
      <c r="A109" s="610"/>
      <c r="B109" s="545"/>
      <c r="C109" s="545"/>
      <c r="D109" s="545"/>
      <c r="E109" s="545"/>
      <c r="F109" s="545"/>
      <c r="G109" s="545"/>
      <c r="H109" s="545"/>
      <c r="I109" s="545"/>
      <c r="J109" s="545"/>
      <c r="K109" s="612"/>
      <c r="L109" s="545"/>
      <c r="M109" s="566"/>
      <c r="N109" s="566"/>
      <c r="O109" s="579"/>
      <c r="W109" s="579"/>
      <c r="X109" s="579"/>
      <c r="Y109" s="579"/>
      <c r="Z109" s="579"/>
      <c r="AA109" s="579"/>
      <c r="AB109" s="579"/>
      <c r="AC109" s="579"/>
      <c r="AD109" s="545"/>
      <c r="AV109" s="545"/>
      <c r="AW109" s="545"/>
      <c r="AX109" s="545"/>
      <c r="AY109" s="545"/>
      <c r="AZ109" s="545"/>
      <c r="BA109" s="545"/>
      <c r="BB109" s="545"/>
      <c r="BC109" s="545"/>
      <c r="BD109" s="545"/>
      <c r="BE109" s="545"/>
      <c r="BF109" s="545"/>
    </row>
    <row r="110" spans="1:58" ht="30" customHeight="1" thickBot="1" x14ac:dyDescent="0.25">
      <c r="A110" s="610"/>
      <c r="B110" s="1437" t="s">
        <v>262</v>
      </c>
      <c r="C110" s="1438"/>
      <c r="D110" s="1475"/>
      <c r="E110" s="1475"/>
      <c r="F110" s="1475"/>
      <c r="G110" s="1475"/>
      <c r="H110" s="1475"/>
      <c r="I110" s="1475"/>
      <c r="J110" s="1475"/>
      <c r="K110" s="1475"/>
      <c r="L110" s="1475"/>
      <c r="M110" s="1475"/>
      <c r="N110" s="1475"/>
      <c r="O110" s="1475"/>
      <c r="P110" s="1475"/>
      <c r="Q110" s="1475"/>
      <c r="R110" s="1475"/>
      <c r="S110" s="1475"/>
      <c r="T110" s="1475"/>
      <c r="U110" s="1475"/>
      <c r="V110" s="1475"/>
      <c r="W110" s="1476"/>
      <c r="X110" s="579"/>
      <c r="Y110" s="579"/>
      <c r="Z110" s="579"/>
      <c r="AA110" s="579"/>
      <c r="AB110" s="579"/>
      <c r="AC110" s="579"/>
      <c r="AD110" s="545"/>
      <c r="AV110" s="545"/>
      <c r="AW110" s="545"/>
      <c r="AX110" s="545"/>
      <c r="AY110" s="545"/>
      <c r="AZ110" s="545"/>
      <c r="BA110" s="545"/>
      <c r="BB110" s="545"/>
      <c r="BC110" s="545"/>
      <c r="BD110" s="545"/>
      <c r="BE110" s="545"/>
      <c r="BF110" s="545"/>
    </row>
    <row r="111" spans="1:58" ht="60" customHeight="1" thickBot="1" x14ac:dyDescent="0.25">
      <c r="A111" s="610"/>
      <c r="B111" s="1467" t="s">
        <v>163</v>
      </c>
      <c r="C111" s="700"/>
      <c r="D111" s="701" t="s">
        <v>35</v>
      </c>
      <c r="E111" s="702" t="s">
        <v>228</v>
      </c>
      <c r="F111" s="702" t="s">
        <v>227</v>
      </c>
      <c r="G111" s="702" t="s">
        <v>156</v>
      </c>
      <c r="H111" s="702" t="s">
        <v>199</v>
      </c>
      <c r="I111" s="702" t="s">
        <v>154</v>
      </c>
      <c r="J111" s="702" t="s">
        <v>200</v>
      </c>
      <c r="K111" s="703" t="s">
        <v>155</v>
      </c>
      <c r="L111" s="702" t="s">
        <v>364</v>
      </c>
      <c r="M111" s="702" t="s">
        <v>417</v>
      </c>
      <c r="N111" s="702" t="s">
        <v>463</v>
      </c>
      <c r="O111" s="702" t="s">
        <v>464</v>
      </c>
      <c r="P111" s="704" t="s">
        <v>462</v>
      </c>
      <c r="Q111" s="702" t="s">
        <v>465</v>
      </c>
      <c r="R111" s="702" t="s">
        <v>466</v>
      </c>
      <c r="S111" s="704" t="s">
        <v>462</v>
      </c>
      <c r="T111" s="702" t="s">
        <v>467</v>
      </c>
      <c r="U111" s="702" t="s">
        <v>468</v>
      </c>
      <c r="V111" s="704" t="s">
        <v>462</v>
      </c>
      <c r="W111" s="705" t="s">
        <v>535</v>
      </c>
      <c r="X111" s="579"/>
      <c r="Y111" s="579"/>
      <c r="Z111" s="579"/>
      <c r="AA111" s="579"/>
      <c r="AB111" s="579"/>
      <c r="AC111" s="1437" t="s">
        <v>357</v>
      </c>
      <c r="AD111" s="1438"/>
      <c r="AE111" s="1438"/>
      <c r="AF111" s="1439"/>
      <c r="AG111" s="579"/>
      <c r="AH111" s="1434" t="s">
        <v>358</v>
      </c>
      <c r="AI111" s="1435"/>
      <c r="AV111" s="545"/>
      <c r="AW111" s="545"/>
      <c r="AX111" s="545"/>
      <c r="AY111" s="545"/>
      <c r="AZ111" s="545"/>
      <c r="BA111" s="545"/>
      <c r="BB111" s="545"/>
      <c r="BC111" s="545"/>
      <c r="BD111" s="545"/>
      <c r="BE111" s="545"/>
      <c r="BF111" s="545"/>
    </row>
    <row r="112" spans="1:58" ht="30" customHeight="1" thickBot="1" x14ac:dyDescent="0.25">
      <c r="A112" s="610"/>
      <c r="B112" s="1468"/>
      <c r="C112" s="706"/>
      <c r="D112" s="613"/>
      <c r="E112" s="632"/>
      <c r="F112" s="632"/>
      <c r="G112" s="632"/>
      <c r="H112" s="632"/>
      <c r="I112" s="632"/>
      <c r="J112" s="632"/>
      <c r="K112" s="660"/>
      <c r="L112" s="660"/>
      <c r="M112" s="660"/>
      <c r="N112" s="633"/>
      <c r="O112" s="707"/>
      <c r="P112" s="613"/>
      <c r="Q112" s="613"/>
      <c r="R112" s="613"/>
      <c r="S112" s="613"/>
      <c r="T112" s="632"/>
      <c r="U112" s="632"/>
      <c r="V112" s="632"/>
      <c r="W112" s="634"/>
      <c r="AA112" s="579"/>
      <c r="AB112" s="579"/>
      <c r="AC112" s="1440" t="s">
        <v>582</v>
      </c>
      <c r="AD112" s="1441"/>
      <c r="AE112" s="1441"/>
      <c r="AF112" s="1442"/>
      <c r="AG112" s="579"/>
      <c r="AH112" s="708"/>
      <c r="AI112" s="709"/>
      <c r="AV112" s="545"/>
      <c r="AW112" s="545"/>
      <c r="AX112" s="545"/>
      <c r="AY112" s="545"/>
      <c r="AZ112" s="545"/>
      <c r="BA112" s="545"/>
      <c r="BB112" s="545"/>
      <c r="BC112" s="545"/>
      <c r="BD112" s="545"/>
      <c r="BE112" s="545"/>
      <c r="BF112" s="545"/>
    </row>
    <row r="113" spans="1:58" ht="33.950000000000003" customHeight="1" thickBot="1" x14ac:dyDescent="0.25">
      <c r="A113" s="610"/>
      <c r="B113" s="1469"/>
      <c r="C113" s="710" t="s">
        <v>187</v>
      </c>
      <c r="D113" s="616" t="s">
        <v>315</v>
      </c>
      <c r="E113" s="616" t="s">
        <v>315</v>
      </c>
      <c r="F113" s="616" t="s">
        <v>315</v>
      </c>
      <c r="G113" s="616" t="s">
        <v>315</v>
      </c>
      <c r="H113" s="616" t="s">
        <v>315</v>
      </c>
      <c r="I113" s="616" t="s">
        <v>315</v>
      </c>
      <c r="J113" s="616" t="s">
        <v>315</v>
      </c>
      <c r="K113" s="616" t="s">
        <v>315</v>
      </c>
      <c r="L113" s="616" t="s">
        <v>315</v>
      </c>
      <c r="M113" s="616" t="s">
        <v>421</v>
      </c>
      <c r="N113" s="711"/>
      <c r="O113" s="712"/>
      <c r="P113" s="713">
        <f>+N113-O113</f>
        <v>0</v>
      </c>
      <c r="Q113" s="712"/>
      <c r="R113" s="712"/>
      <c r="S113" s="713">
        <f>+Q113-R113</f>
        <v>0</v>
      </c>
      <c r="T113" s="712"/>
      <c r="U113" s="712"/>
      <c r="V113" s="713">
        <f>+T113-U113</f>
        <v>0</v>
      </c>
      <c r="W113" s="714">
        <f>ABS(MAX(P113,S113,V113))</f>
        <v>0</v>
      </c>
      <c r="AA113" s="579"/>
      <c r="AB113" s="579"/>
      <c r="AC113" s="1246" t="s">
        <v>201</v>
      </c>
      <c r="AD113" s="1247" t="s">
        <v>559</v>
      </c>
      <c r="AE113" s="1248" t="s">
        <v>217</v>
      </c>
      <c r="AF113" s="1249" t="s">
        <v>4</v>
      </c>
      <c r="AG113" s="579"/>
      <c r="AH113" s="541" t="s">
        <v>203</v>
      </c>
      <c r="AI113" s="999" t="s">
        <v>10</v>
      </c>
      <c r="AV113" s="545"/>
      <c r="AW113" s="545"/>
      <c r="AX113" s="545"/>
      <c r="AY113" s="545"/>
      <c r="AZ113" s="545"/>
      <c r="BA113" s="545"/>
      <c r="BB113" s="545"/>
      <c r="BC113" s="545"/>
      <c r="BD113" s="545"/>
      <c r="BE113" s="545"/>
      <c r="BF113" s="545"/>
    </row>
    <row r="114" spans="1:58" ht="33.950000000000003" customHeight="1" x14ac:dyDescent="0.2">
      <c r="A114" s="610"/>
      <c r="B114" s="1469"/>
      <c r="C114" s="715" t="s">
        <v>188</v>
      </c>
      <c r="D114" s="570" t="s">
        <v>234</v>
      </c>
      <c r="E114" s="570">
        <v>27760</v>
      </c>
      <c r="F114" s="570">
        <v>5.0199999999999996</v>
      </c>
      <c r="G114" s="570">
        <v>0.05</v>
      </c>
      <c r="H114" s="570">
        <v>0.02</v>
      </c>
      <c r="I114" s="570">
        <v>3.7999999999999999E-2</v>
      </c>
      <c r="J114" s="716">
        <v>2</v>
      </c>
      <c r="K114" s="717">
        <v>43027</v>
      </c>
      <c r="L114" s="718" t="s">
        <v>265</v>
      </c>
      <c r="M114" s="570" t="s">
        <v>418</v>
      </c>
      <c r="N114" s="719">
        <v>0.51</v>
      </c>
      <c r="O114" s="719">
        <v>0.5</v>
      </c>
      <c r="P114" s="720">
        <f>N114-O114</f>
        <v>1.0000000000000009E-2</v>
      </c>
      <c r="Q114" s="721">
        <v>2.52</v>
      </c>
      <c r="R114" s="721">
        <v>2.5099999999999998</v>
      </c>
      <c r="S114" s="720">
        <f>Q114-R114</f>
        <v>1.0000000000000231E-2</v>
      </c>
      <c r="T114" s="721">
        <v>5.0199999999999996</v>
      </c>
      <c r="U114" s="721">
        <v>5.0199999999999996</v>
      </c>
      <c r="V114" s="720">
        <f>T114-U114</f>
        <v>0</v>
      </c>
      <c r="W114" s="722">
        <f>ABS(MAX(P114,S114,V114))</f>
        <v>1.0000000000000231E-2</v>
      </c>
      <c r="AA114" s="579"/>
      <c r="AB114" s="579"/>
      <c r="AC114" s="1250"/>
      <c r="AD114" s="1251"/>
      <c r="AE114" s="1251"/>
      <c r="AF114" s="1252"/>
      <c r="AG114" s="579"/>
      <c r="AH114" s="723" t="s">
        <v>499</v>
      </c>
      <c r="AI114" s="724"/>
      <c r="AV114" s="545"/>
      <c r="AW114" s="545"/>
      <c r="AX114" s="545"/>
      <c r="AY114" s="545"/>
      <c r="AZ114" s="545"/>
      <c r="BA114" s="545"/>
      <c r="BB114" s="545"/>
      <c r="BC114" s="545"/>
      <c r="BD114" s="545"/>
      <c r="BE114" s="545"/>
      <c r="BF114" s="545"/>
    </row>
    <row r="115" spans="1:58" ht="33.950000000000003" customHeight="1" x14ac:dyDescent="0.2">
      <c r="A115" s="610"/>
      <c r="B115" s="1469"/>
      <c r="C115" s="715" t="s">
        <v>189</v>
      </c>
      <c r="D115" s="570" t="s">
        <v>315</v>
      </c>
      <c r="E115" s="570" t="s">
        <v>315</v>
      </c>
      <c r="F115" s="570" t="s">
        <v>315</v>
      </c>
      <c r="G115" s="570" t="s">
        <v>315</v>
      </c>
      <c r="H115" s="570" t="s">
        <v>315</v>
      </c>
      <c r="I115" s="570" t="s">
        <v>315</v>
      </c>
      <c r="J115" s="570" t="s">
        <v>315</v>
      </c>
      <c r="K115" s="717" t="s">
        <v>315</v>
      </c>
      <c r="L115" s="718" t="s">
        <v>315</v>
      </c>
      <c r="M115" s="570" t="s">
        <v>421</v>
      </c>
      <c r="N115" s="725"/>
      <c r="O115" s="721"/>
      <c r="P115" s="720">
        <f>+N115-O115</f>
        <v>0</v>
      </c>
      <c r="Q115" s="721"/>
      <c r="R115" s="721"/>
      <c r="S115" s="720">
        <f>+Q115-R115</f>
        <v>0</v>
      </c>
      <c r="T115" s="721"/>
      <c r="U115" s="721"/>
      <c r="V115" s="720">
        <f>+T115-U115</f>
        <v>0</v>
      </c>
      <c r="W115" s="722">
        <f>ABS(MAX(P115,S115,V115))</f>
        <v>0</v>
      </c>
      <c r="AA115" s="579"/>
      <c r="AB115" s="579"/>
      <c r="AC115" s="1215" t="s">
        <v>560</v>
      </c>
      <c r="AD115" s="1216">
        <v>0.25</v>
      </c>
      <c r="AE115" s="1216">
        <v>80</v>
      </c>
      <c r="AF115" s="726">
        <f>AF116/2</f>
        <v>4.0967649999999995</v>
      </c>
      <c r="AG115" s="579"/>
      <c r="AH115" s="715">
        <v>316</v>
      </c>
      <c r="AI115" s="724">
        <v>4.7700000000000001E-5</v>
      </c>
      <c r="AV115" s="545"/>
      <c r="AW115" s="545"/>
      <c r="AX115" s="545"/>
      <c r="AY115" s="545"/>
      <c r="AZ115" s="545"/>
      <c r="BA115" s="545"/>
      <c r="BB115" s="545"/>
      <c r="BC115" s="545"/>
      <c r="BD115" s="545"/>
      <c r="BE115" s="545"/>
      <c r="BF115" s="545"/>
    </row>
    <row r="116" spans="1:58" ht="33.950000000000003" customHeight="1" x14ac:dyDescent="0.2">
      <c r="A116" s="610"/>
      <c r="B116" s="1469"/>
      <c r="C116" s="715" t="s">
        <v>190</v>
      </c>
      <c r="D116" s="570" t="s">
        <v>234</v>
      </c>
      <c r="E116" s="570">
        <v>27761</v>
      </c>
      <c r="F116" s="570">
        <v>10.02</v>
      </c>
      <c r="G116" s="570">
        <v>0.1</v>
      </c>
      <c r="H116" s="570">
        <v>0.02</v>
      </c>
      <c r="I116" s="570">
        <v>6.7000000000000004E-2</v>
      </c>
      <c r="J116" s="716">
        <v>2</v>
      </c>
      <c r="K116" s="717">
        <v>43020</v>
      </c>
      <c r="L116" s="718" t="s">
        <v>266</v>
      </c>
      <c r="M116" s="570" t="s">
        <v>419</v>
      </c>
      <c r="N116" s="725">
        <v>1</v>
      </c>
      <c r="O116" s="721">
        <v>1.0069999999999999</v>
      </c>
      <c r="P116" s="720">
        <f>N116-O116</f>
        <v>-6.9999999999998952E-3</v>
      </c>
      <c r="Q116" s="721">
        <v>5.01</v>
      </c>
      <c r="R116" s="721">
        <v>5.0140000000000002</v>
      </c>
      <c r="S116" s="720">
        <f>+Q116-R116</f>
        <v>-4.0000000000004476E-3</v>
      </c>
      <c r="T116" s="721">
        <v>10.02</v>
      </c>
      <c r="U116" s="721">
        <v>10.022</v>
      </c>
      <c r="V116" s="720">
        <f>+T116-U116</f>
        <v>-2.0000000000006679E-3</v>
      </c>
      <c r="W116" s="722">
        <f>ABS(MAX(P116,S116,V116))</f>
        <v>2.0000000000006679E-3</v>
      </c>
      <c r="AA116" s="579"/>
      <c r="AB116" s="579"/>
      <c r="AC116" s="1215" t="s">
        <v>561</v>
      </c>
      <c r="AD116" s="1216">
        <v>0.5</v>
      </c>
      <c r="AE116" s="1216">
        <v>40</v>
      </c>
      <c r="AF116" s="726">
        <f>AF117/2</f>
        <v>8.1935299999999991</v>
      </c>
      <c r="AG116" s="579"/>
      <c r="AH116" s="715">
        <v>304</v>
      </c>
      <c r="AI116" s="724">
        <v>5.1799999999999999E-5</v>
      </c>
      <c r="AV116" s="545"/>
      <c r="AW116" s="545"/>
      <c r="AX116" s="545"/>
      <c r="AY116" s="545"/>
      <c r="AZ116" s="545"/>
      <c r="BA116" s="545"/>
      <c r="BB116" s="545"/>
      <c r="BC116" s="545"/>
      <c r="BD116" s="545"/>
      <c r="BE116" s="545"/>
      <c r="BF116" s="545"/>
    </row>
    <row r="117" spans="1:58" ht="33.950000000000003" customHeight="1" thickBot="1" x14ac:dyDescent="0.25">
      <c r="A117" s="610"/>
      <c r="B117" s="1470"/>
      <c r="C117" s="727" t="s">
        <v>191</v>
      </c>
      <c r="D117" s="622" t="s">
        <v>234</v>
      </c>
      <c r="E117" s="622">
        <v>27762</v>
      </c>
      <c r="F117" s="622">
        <v>24.9</v>
      </c>
      <c r="G117" s="622">
        <v>0.1</v>
      </c>
      <c r="H117" s="622">
        <v>-0.1</v>
      </c>
      <c r="I117" s="622">
        <v>6.5000000000000002E-2</v>
      </c>
      <c r="J117" s="624">
        <v>2</v>
      </c>
      <c r="K117" s="728">
        <v>43025</v>
      </c>
      <c r="L117" s="623" t="s">
        <v>267</v>
      </c>
      <c r="M117" s="622" t="s">
        <v>420</v>
      </c>
      <c r="N117" s="729">
        <v>2.48</v>
      </c>
      <c r="O117" s="729">
        <v>2.48</v>
      </c>
      <c r="P117" s="730">
        <f>N117-O117</f>
        <v>0</v>
      </c>
      <c r="Q117" s="731">
        <v>12.5</v>
      </c>
      <c r="R117" s="731">
        <v>12.5</v>
      </c>
      <c r="S117" s="730">
        <f>Q117-R117</f>
        <v>0</v>
      </c>
      <c r="T117" s="731">
        <v>24.9</v>
      </c>
      <c r="U117" s="731">
        <v>24.8</v>
      </c>
      <c r="V117" s="730">
        <f>T117-U117</f>
        <v>9.9999999999997868E-2</v>
      </c>
      <c r="W117" s="732">
        <f>ABS(MAX(P117,S117,V117))</f>
        <v>9.9999999999997868E-2</v>
      </c>
      <c r="AA117" s="579"/>
      <c r="AB117" s="579"/>
      <c r="AC117" s="1215" t="s">
        <v>562</v>
      </c>
      <c r="AD117" s="1216">
        <v>1</v>
      </c>
      <c r="AE117" s="1216">
        <v>20</v>
      </c>
      <c r="AF117" s="726">
        <f>'RT03-F11 %'!L30</f>
        <v>16.387059999999998</v>
      </c>
      <c r="AG117" s="579"/>
      <c r="AH117" s="715"/>
      <c r="AI117" s="724"/>
      <c r="AV117" s="545"/>
      <c r="AW117" s="545"/>
      <c r="AX117" s="545"/>
      <c r="AY117" s="545"/>
      <c r="AZ117" s="545"/>
      <c r="BA117" s="545"/>
      <c r="BB117" s="545"/>
      <c r="BC117" s="545"/>
      <c r="BD117" s="545"/>
      <c r="BE117" s="545"/>
      <c r="BF117" s="545"/>
    </row>
    <row r="118" spans="1:58" ht="30" customHeight="1" thickBot="1" x14ac:dyDescent="0.25">
      <c r="A118" s="610"/>
      <c r="B118" s="545"/>
      <c r="C118" s="545"/>
      <c r="D118" s="545"/>
      <c r="E118" s="545"/>
      <c r="F118" s="545"/>
      <c r="G118" s="545"/>
      <c r="H118" s="545"/>
      <c r="I118" s="545"/>
      <c r="J118" s="545"/>
      <c r="K118" s="612"/>
      <c r="L118" s="545"/>
      <c r="M118" s="566"/>
      <c r="N118" s="566"/>
      <c r="O118" s="579"/>
      <c r="T118" s="579"/>
      <c r="U118" s="579"/>
      <c r="V118" s="579"/>
      <c r="AA118" s="579"/>
      <c r="AB118" s="579"/>
      <c r="AC118" s="1253">
        <v>5.0000000000000001E-4</v>
      </c>
      <c r="AD118" s="1216">
        <v>5</v>
      </c>
      <c r="AE118" s="1216">
        <v>40</v>
      </c>
      <c r="AF118" s="1254">
        <f>('RT03-F11 %'!M30*0.05)/100</f>
        <v>9.4635274999999996</v>
      </c>
      <c r="AG118" s="579"/>
      <c r="AH118" s="727"/>
      <c r="AI118" s="733"/>
      <c r="AV118" s="545"/>
      <c r="AW118" s="545"/>
      <c r="AX118" s="545"/>
      <c r="AY118" s="545"/>
      <c r="AZ118" s="545"/>
      <c r="BA118" s="545"/>
      <c r="BB118" s="545"/>
      <c r="BC118" s="545"/>
      <c r="BD118" s="545"/>
      <c r="BE118" s="545"/>
      <c r="BF118" s="545"/>
    </row>
    <row r="119" spans="1:58" ht="30" customHeight="1" thickBot="1" x14ac:dyDescent="0.25">
      <c r="A119" s="610"/>
      <c r="B119" s="1437" t="s">
        <v>262</v>
      </c>
      <c r="C119" s="1438"/>
      <c r="D119" s="1475"/>
      <c r="E119" s="1475"/>
      <c r="F119" s="1475"/>
      <c r="G119" s="1475"/>
      <c r="H119" s="1475"/>
      <c r="I119" s="1475"/>
      <c r="J119" s="1475"/>
      <c r="K119" s="1475"/>
      <c r="L119" s="1475"/>
      <c r="M119" s="1475"/>
      <c r="N119" s="1475"/>
      <c r="O119" s="1475"/>
      <c r="P119" s="1475"/>
      <c r="Q119" s="1475"/>
      <c r="R119" s="1475"/>
      <c r="S119" s="1475"/>
      <c r="T119" s="1475"/>
      <c r="U119" s="1475"/>
      <c r="V119" s="1475"/>
      <c r="W119" s="1475"/>
      <c r="X119" s="1475"/>
      <c r="Y119" s="1475"/>
      <c r="Z119" s="1475"/>
      <c r="AA119" s="1476"/>
      <c r="AB119" s="579"/>
      <c r="AC119" s="1255"/>
      <c r="AD119" s="622"/>
      <c r="AE119" s="622"/>
      <c r="AF119" s="1245"/>
      <c r="AV119" s="545"/>
      <c r="AW119" s="545"/>
      <c r="AX119" s="545"/>
      <c r="AY119" s="545"/>
      <c r="AZ119" s="545"/>
      <c r="BA119" s="545"/>
      <c r="BB119" s="545"/>
      <c r="BC119" s="545"/>
      <c r="BD119" s="545"/>
      <c r="BE119" s="545"/>
      <c r="BF119" s="545"/>
    </row>
    <row r="120" spans="1:58" ht="60" customHeight="1" thickBot="1" x14ac:dyDescent="0.25">
      <c r="A120" s="610"/>
      <c r="B120" s="1467" t="s">
        <v>164</v>
      </c>
      <c r="C120" s="700"/>
      <c r="D120" s="542" t="s">
        <v>35</v>
      </c>
      <c r="E120" s="95" t="s">
        <v>226</v>
      </c>
      <c r="F120" s="95" t="s">
        <v>227</v>
      </c>
      <c r="G120" s="95" t="s">
        <v>156</v>
      </c>
      <c r="H120" s="95" t="s">
        <v>199</v>
      </c>
      <c r="I120" s="95" t="s">
        <v>154</v>
      </c>
      <c r="J120" s="95" t="s">
        <v>200</v>
      </c>
      <c r="K120" s="629" t="s">
        <v>155</v>
      </c>
      <c r="L120" s="95" t="s">
        <v>364</v>
      </c>
      <c r="M120" s="95" t="s">
        <v>417</v>
      </c>
      <c r="N120" s="1466" t="s">
        <v>218</v>
      </c>
      <c r="O120" s="1466"/>
      <c r="P120" s="95" t="s">
        <v>359</v>
      </c>
      <c r="Q120" s="95" t="s">
        <v>360</v>
      </c>
      <c r="R120" s="95" t="s">
        <v>463</v>
      </c>
      <c r="S120" s="95" t="s">
        <v>464</v>
      </c>
      <c r="T120" s="157" t="s">
        <v>462</v>
      </c>
      <c r="U120" s="95" t="s">
        <v>465</v>
      </c>
      <c r="V120" s="95" t="s">
        <v>466</v>
      </c>
      <c r="W120" s="157" t="s">
        <v>462</v>
      </c>
      <c r="X120" s="95" t="s">
        <v>467</v>
      </c>
      <c r="Y120" s="95" t="s">
        <v>468</v>
      </c>
      <c r="Z120" s="157" t="s">
        <v>462</v>
      </c>
      <c r="AA120" s="96" t="s">
        <v>535</v>
      </c>
      <c r="AB120" s="579"/>
      <c r="AC120" s="579"/>
      <c r="AD120" s="545"/>
      <c r="AV120" s="545"/>
      <c r="AW120" s="545"/>
      <c r="AX120" s="545"/>
      <c r="AY120" s="545"/>
      <c r="AZ120" s="545"/>
      <c r="BA120" s="545"/>
      <c r="BB120" s="545"/>
      <c r="BC120" s="545"/>
      <c r="BD120" s="545"/>
      <c r="BE120" s="545"/>
      <c r="BF120" s="545"/>
    </row>
    <row r="121" spans="1:58" ht="30" customHeight="1" thickBot="1" x14ac:dyDescent="0.25">
      <c r="A121" s="610"/>
      <c r="B121" s="1468"/>
      <c r="C121" s="700"/>
      <c r="D121" s="545"/>
      <c r="E121" s="605"/>
      <c r="F121" s="605"/>
      <c r="G121" s="605"/>
      <c r="H121" s="605"/>
      <c r="I121" s="605"/>
      <c r="J121" s="605"/>
      <c r="K121" s="649"/>
      <c r="L121" s="545"/>
      <c r="M121" s="649"/>
      <c r="N121" s="579"/>
      <c r="O121" s="596"/>
      <c r="P121" s="596"/>
      <c r="Q121" s="579"/>
      <c r="R121" s="566"/>
      <c r="S121" s="579"/>
      <c r="T121" s="545"/>
      <c r="U121" s="545"/>
      <c r="V121" s="545"/>
      <c r="W121" s="545"/>
      <c r="X121" s="605"/>
      <c r="Y121" s="605"/>
      <c r="Z121" s="605"/>
      <c r="AA121" s="734"/>
      <c r="AB121" s="579"/>
      <c r="AC121" s="579"/>
      <c r="AD121" s="545"/>
      <c r="AV121" s="545"/>
      <c r="AW121" s="545"/>
      <c r="AX121" s="545"/>
      <c r="AY121" s="545"/>
      <c r="AZ121" s="545"/>
      <c r="BA121" s="545"/>
      <c r="BB121" s="545"/>
      <c r="BC121" s="545"/>
      <c r="BD121" s="545"/>
      <c r="BE121" s="545"/>
      <c r="BF121" s="545"/>
    </row>
    <row r="122" spans="1:58" ht="33.950000000000003" customHeight="1" x14ac:dyDescent="0.2">
      <c r="A122" s="610"/>
      <c r="B122" s="1469"/>
      <c r="C122" s="710" t="s">
        <v>192</v>
      </c>
      <c r="D122" s="616" t="s">
        <v>235</v>
      </c>
      <c r="E122" s="616" t="s">
        <v>268</v>
      </c>
      <c r="F122" s="616" t="s">
        <v>407</v>
      </c>
      <c r="G122" s="735">
        <v>1</v>
      </c>
      <c r="H122" s="616">
        <v>0.27</v>
      </c>
      <c r="I122" s="617">
        <v>0.17</v>
      </c>
      <c r="J122" s="617">
        <v>2.1</v>
      </c>
      <c r="K122" s="736">
        <v>42523</v>
      </c>
      <c r="L122" s="737" t="s">
        <v>264</v>
      </c>
      <c r="M122" s="616" t="s">
        <v>469</v>
      </c>
      <c r="N122" s="616">
        <v>10</v>
      </c>
      <c r="O122" s="616">
        <v>100</v>
      </c>
      <c r="P122" s="616">
        <v>10.3</v>
      </c>
      <c r="Q122" s="616">
        <v>100.24</v>
      </c>
      <c r="R122" s="712">
        <v>21.21</v>
      </c>
      <c r="S122" s="712">
        <v>50</v>
      </c>
      <c r="T122" s="713">
        <f>R122-S122</f>
        <v>-28.79</v>
      </c>
      <c r="U122" s="712">
        <v>60.81</v>
      </c>
      <c r="V122" s="712">
        <v>250.071</v>
      </c>
      <c r="W122" s="713">
        <f>U122-V122</f>
        <v>-189.261</v>
      </c>
      <c r="X122" s="712">
        <v>100.27</v>
      </c>
      <c r="Y122" s="712">
        <v>500.66699999999997</v>
      </c>
      <c r="Z122" s="713">
        <f>X122-Y122</f>
        <v>-400.39699999999999</v>
      </c>
      <c r="AA122" s="714">
        <f t="shared" ref="AA122:AA127" si="2">ABS(MAX(T122,W122,Z122))</f>
        <v>28.79</v>
      </c>
      <c r="AB122" s="579"/>
      <c r="AC122" s="579"/>
      <c r="AD122" s="545"/>
      <c r="AV122" s="545"/>
      <c r="AW122" s="545"/>
      <c r="AX122" s="545"/>
      <c r="AY122" s="545"/>
      <c r="AZ122" s="545"/>
      <c r="BA122" s="545"/>
      <c r="BB122" s="545"/>
      <c r="BC122" s="545"/>
      <c r="BD122" s="545"/>
      <c r="BE122" s="545"/>
      <c r="BF122" s="545"/>
    </row>
    <row r="123" spans="1:58" ht="33.950000000000003" customHeight="1" x14ac:dyDescent="0.2">
      <c r="A123" s="610"/>
      <c r="B123" s="1469"/>
      <c r="C123" s="715" t="s">
        <v>193</v>
      </c>
      <c r="D123" s="570" t="s">
        <v>234</v>
      </c>
      <c r="E123" s="570">
        <v>27755</v>
      </c>
      <c r="F123" s="570">
        <v>499.68</v>
      </c>
      <c r="G123" s="716">
        <v>5</v>
      </c>
      <c r="H123" s="570">
        <v>-0.32</v>
      </c>
      <c r="I123" s="570">
        <v>2.9</v>
      </c>
      <c r="J123" s="716">
        <v>2</v>
      </c>
      <c r="K123" s="717">
        <v>43010</v>
      </c>
      <c r="L123" s="570" t="s">
        <v>269</v>
      </c>
      <c r="M123" s="570" t="s">
        <v>470</v>
      </c>
      <c r="N123" s="570">
        <v>50</v>
      </c>
      <c r="O123" s="570">
        <v>500</v>
      </c>
      <c r="P123" s="570">
        <v>50.14</v>
      </c>
      <c r="Q123" s="570">
        <v>499.68</v>
      </c>
      <c r="R123" s="721">
        <v>50.14</v>
      </c>
      <c r="S123" s="721">
        <v>50</v>
      </c>
      <c r="T123" s="720">
        <f>R123-S123</f>
        <v>0.14000000000000057</v>
      </c>
      <c r="U123" s="721">
        <v>249.77</v>
      </c>
      <c r="V123" s="721">
        <v>250.071</v>
      </c>
      <c r="W123" s="720">
        <f>U123-V123</f>
        <v>-0.30099999999998772</v>
      </c>
      <c r="X123" s="721">
        <v>499.68</v>
      </c>
      <c r="Y123" s="721">
        <v>500.66699999999997</v>
      </c>
      <c r="Z123" s="720">
        <f>X123-Y123</f>
        <v>-0.98699999999996635</v>
      </c>
      <c r="AA123" s="722">
        <f t="shared" si="2"/>
        <v>0.14000000000000057</v>
      </c>
      <c r="AV123" s="545"/>
      <c r="AW123" s="545"/>
      <c r="AX123" s="545"/>
      <c r="AY123" s="545"/>
      <c r="AZ123" s="545"/>
      <c r="BA123" s="545"/>
      <c r="BB123" s="545"/>
      <c r="BC123" s="545"/>
      <c r="BD123" s="545"/>
      <c r="BE123" s="545"/>
      <c r="BF123" s="545"/>
    </row>
    <row r="124" spans="1:58" ht="33.950000000000003" customHeight="1" x14ac:dyDescent="0.2">
      <c r="A124" s="610"/>
      <c r="B124" s="1469"/>
      <c r="C124" s="715" t="s">
        <v>194</v>
      </c>
      <c r="D124" s="570" t="s">
        <v>315</v>
      </c>
      <c r="E124" s="570" t="s">
        <v>315</v>
      </c>
      <c r="F124" s="570" t="s">
        <v>315</v>
      </c>
      <c r="G124" s="570" t="s">
        <v>315</v>
      </c>
      <c r="H124" s="570" t="s">
        <v>315</v>
      </c>
      <c r="I124" s="570" t="s">
        <v>315</v>
      </c>
      <c r="J124" s="570" t="s">
        <v>315</v>
      </c>
      <c r="K124" s="570" t="s">
        <v>315</v>
      </c>
      <c r="L124" s="570" t="s">
        <v>315</v>
      </c>
      <c r="M124" s="570" t="s">
        <v>315</v>
      </c>
      <c r="N124" s="570" t="s">
        <v>315</v>
      </c>
      <c r="O124" s="570" t="s">
        <v>315</v>
      </c>
      <c r="P124" s="570" t="s">
        <v>315</v>
      </c>
      <c r="Q124" s="570" t="s">
        <v>315</v>
      </c>
      <c r="R124" s="725"/>
      <c r="S124" s="721"/>
      <c r="T124" s="720">
        <f>+R124-S124</f>
        <v>0</v>
      </c>
      <c r="U124" s="721"/>
      <c r="V124" s="721"/>
      <c r="W124" s="720">
        <f>+U124-V124</f>
        <v>0</v>
      </c>
      <c r="X124" s="721"/>
      <c r="Y124" s="721"/>
      <c r="Z124" s="720">
        <f>+X124-Y124</f>
        <v>0</v>
      </c>
      <c r="AA124" s="722">
        <f t="shared" si="2"/>
        <v>0</v>
      </c>
      <c r="AV124" s="545"/>
      <c r="AW124" s="545"/>
      <c r="AX124" s="545"/>
      <c r="AY124" s="545"/>
      <c r="AZ124" s="545"/>
      <c r="BA124" s="545"/>
      <c r="BB124" s="545"/>
      <c r="BC124" s="545"/>
      <c r="BD124" s="545"/>
      <c r="BE124" s="545"/>
      <c r="BF124" s="545"/>
    </row>
    <row r="125" spans="1:58" ht="33.950000000000003" customHeight="1" x14ac:dyDescent="0.2">
      <c r="A125" s="610"/>
      <c r="B125" s="1469"/>
      <c r="C125" s="715" t="s">
        <v>195</v>
      </c>
      <c r="D125" s="570" t="s">
        <v>234</v>
      </c>
      <c r="E125" s="570">
        <v>27757</v>
      </c>
      <c r="F125" s="570">
        <v>500.46</v>
      </c>
      <c r="G125" s="716">
        <v>5</v>
      </c>
      <c r="H125" s="570">
        <v>0.46</v>
      </c>
      <c r="I125" s="570">
        <v>2.9</v>
      </c>
      <c r="J125" s="716">
        <v>2</v>
      </c>
      <c r="K125" s="717">
        <v>43017</v>
      </c>
      <c r="L125" s="570" t="s">
        <v>270</v>
      </c>
      <c r="M125" s="570" t="s">
        <v>470</v>
      </c>
      <c r="N125" s="570">
        <v>50</v>
      </c>
      <c r="O125" s="570">
        <v>500</v>
      </c>
      <c r="P125" s="738">
        <v>50.7</v>
      </c>
      <c r="Q125" s="570">
        <v>500.46</v>
      </c>
      <c r="R125" s="721">
        <v>50.7</v>
      </c>
      <c r="S125" s="721">
        <v>50</v>
      </c>
      <c r="T125" s="720">
        <f>R125-S125</f>
        <v>0.70000000000000284</v>
      </c>
      <c r="U125" s="721">
        <v>250.64</v>
      </c>
      <c r="V125" s="721">
        <v>250.071</v>
      </c>
      <c r="W125" s="720">
        <f>+U125-V125</f>
        <v>0.5689999999999884</v>
      </c>
      <c r="X125" s="721">
        <v>500.46</v>
      </c>
      <c r="Y125" s="721">
        <v>500.66699999999997</v>
      </c>
      <c r="Z125" s="720">
        <f>X125-Y125</f>
        <v>-0.20699999999999363</v>
      </c>
      <c r="AA125" s="722">
        <f t="shared" si="2"/>
        <v>0.70000000000000284</v>
      </c>
      <c r="AV125" s="545"/>
      <c r="AW125" s="545"/>
      <c r="AX125" s="545"/>
      <c r="AY125" s="545"/>
      <c r="AZ125" s="545"/>
      <c r="BA125" s="545"/>
      <c r="BB125" s="545"/>
      <c r="BC125" s="545"/>
      <c r="BD125" s="545"/>
      <c r="BE125" s="545"/>
      <c r="BF125" s="545"/>
    </row>
    <row r="126" spans="1:58" ht="33.950000000000003" customHeight="1" x14ac:dyDescent="0.2">
      <c r="A126" s="610"/>
      <c r="B126" s="1469"/>
      <c r="C126" s="715" t="s">
        <v>196</v>
      </c>
      <c r="D126" s="570" t="s">
        <v>234</v>
      </c>
      <c r="E126" s="570">
        <v>27758</v>
      </c>
      <c r="F126" s="570">
        <v>500.34800000000001</v>
      </c>
      <c r="G126" s="716">
        <v>5</v>
      </c>
      <c r="H126" s="570">
        <v>0.34799999999999998</v>
      </c>
      <c r="I126" s="570">
        <v>3.5000000000000003E-2</v>
      </c>
      <c r="J126" s="570">
        <v>2</v>
      </c>
      <c r="K126" s="717">
        <v>42769</v>
      </c>
      <c r="L126" s="570" t="s">
        <v>271</v>
      </c>
      <c r="M126" s="570" t="s">
        <v>471</v>
      </c>
      <c r="N126" s="570">
        <v>100</v>
      </c>
      <c r="O126" s="570">
        <v>500</v>
      </c>
      <c r="P126" s="570">
        <v>100.286</v>
      </c>
      <c r="Q126" s="570">
        <v>500.34800000000001</v>
      </c>
      <c r="R126" s="721">
        <v>50.14</v>
      </c>
      <c r="S126" s="721">
        <v>50</v>
      </c>
      <c r="T126" s="720">
        <f>R126-S126</f>
        <v>0.14000000000000057</v>
      </c>
      <c r="U126" s="721">
        <v>249.77</v>
      </c>
      <c r="V126" s="721">
        <v>250.071</v>
      </c>
      <c r="W126" s="720">
        <f>U126-V126</f>
        <v>-0.30099999999998772</v>
      </c>
      <c r="X126" s="721">
        <v>499.68</v>
      </c>
      <c r="Y126" s="721">
        <v>500.66699999999997</v>
      </c>
      <c r="Z126" s="720">
        <f>X126-Y126</f>
        <v>-0.98699999999996635</v>
      </c>
      <c r="AA126" s="722">
        <f t="shared" si="2"/>
        <v>0.14000000000000057</v>
      </c>
      <c r="AV126" s="545"/>
      <c r="AW126" s="545"/>
      <c r="AX126" s="545"/>
      <c r="AY126" s="545"/>
      <c r="AZ126" s="545"/>
      <c r="BA126" s="545"/>
      <c r="BB126" s="545"/>
      <c r="BC126" s="545"/>
      <c r="BD126" s="545"/>
      <c r="BE126" s="545"/>
      <c r="BF126" s="545"/>
    </row>
    <row r="127" spans="1:58" ht="33.950000000000003" customHeight="1" thickBot="1" x14ac:dyDescent="0.25">
      <c r="A127" s="610"/>
      <c r="B127" s="1470"/>
      <c r="C127" s="727" t="s">
        <v>197</v>
      </c>
      <c r="D127" s="622" t="s">
        <v>234</v>
      </c>
      <c r="E127" s="622">
        <v>27759</v>
      </c>
      <c r="F127" s="622">
        <v>1000.625</v>
      </c>
      <c r="G127" s="624">
        <v>10</v>
      </c>
      <c r="H127" s="622">
        <v>0.625</v>
      </c>
      <c r="I127" s="622">
        <v>3.9E-2</v>
      </c>
      <c r="J127" s="622">
        <v>2</v>
      </c>
      <c r="K127" s="728">
        <v>42769</v>
      </c>
      <c r="L127" s="622" t="s">
        <v>272</v>
      </c>
      <c r="M127" s="622" t="s">
        <v>472</v>
      </c>
      <c r="N127" s="622">
        <v>200</v>
      </c>
      <c r="O127" s="622">
        <v>1000</v>
      </c>
      <c r="P127" s="622">
        <v>201.202</v>
      </c>
      <c r="Q127" s="622">
        <v>1000.625</v>
      </c>
      <c r="R127" s="731">
        <v>50.14</v>
      </c>
      <c r="S127" s="731">
        <v>50</v>
      </c>
      <c r="T127" s="730">
        <f>R127-S127</f>
        <v>0.14000000000000057</v>
      </c>
      <c r="U127" s="731">
        <v>249.77</v>
      </c>
      <c r="V127" s="731">
        <v>250.071</v>
      </c>
      <c r="W127" s="730">
        <f>U127-V127</f>
        <v>-0.30099999999998772</v>
      </c>
      <c r="X127" s="731">
        <v>499.68</v>
      </c>
      <c r="Y127" s="731">
        <v>500.66699999999997</v>
      </c>
      <c r="Z127" s="730">
        <f>X127-Y127</f>
        <v>-0.98699999999996635</v>
      </c>
      <c r="AA127" s="732">
        <f t="shared" si="2"/>
        <v>0.14000000000000057</v>
      </c>
      <c r="AV127" s="545"/>
      <c r="AW127" s="545"/>
      <c r="AX127" s="545"/>
      <c r="AY127" s="545"/>
      <c r="AZ127" s="545"/>
      <c r="BA127" s="545"/>
      <c r="BB127" s="545"/>
      <c r="BC127" s="545"/>
      <c r="BD127" s="545"/>
      <c r="BE127" s="545"/>
      <c r="BF127" s="545"/>
    </row>
    <row r="128" spans="1:58" ht="30" customHeight="1" thickBot="1" x14ac:dyDescent="0.25">
      <c r="A128" s="610"/>
      <c r="B128" s="545"/>
      <c r="C128" s="545"/>
      <c r="D128" s="545"/>
      <c r="E128" s="545"/>
      <c r="F128" s="545"/>
      <c r="G128" s="545"/>
      <c r="H128" s="545"/>
      <c r="I128" s="545"/>
      <c r="J128" s="545"/>
      <c r="K128" s="612"/>
      <c r="L128" s="545"/>
      <c r="M128" s="566"/>
      <c r="N128" s="566"/>
      <c r="O128" s="1436"/>
      <c r="P128" s="1436"/>
      <c r="Q128" s="1436"/>
      <c r="S128" s="694"/>
      <c r="T128" s="596"/>
      <c r="U128" s="596"/>
      <c r="V128" s="739"/>
      <c r="AV128" s="545"/>
      <c r="AW128" s="545"/>
      <c r="AX128" s="545"/>
      <c r="AY128" s="545"/>
      <c r="AZ128" s="545"/>
      <c r="BA128" s="545"/>
      <c r="BB128" s="545"/>
      <c r="BC128" s="545"/>
      <c r="BD128" s="545"/>
      <c r="BE128" s="545"/>
      <c r="BF128" s="545"/>
    </row>
    <row r="129" spans="1:58" ht="30" customHeight="1" thickBot="1" x14ac:dyDescent="0.25">
      <c r="A129" s="610"/>
      <c r="B129" s="1553" t="s">
        <v>170</v>
      </c>
      <c r="C129" s="1554"/>
      <c r="D129" s="1556"/>
      <c r="E129" s="1556"/>
      <c r="F129" s="1556"/>
      <c r="G129" s="1556"/>
      <c r="H129" s="1556"/>
      <c r="I129" s="1556"/>
      <c r="J129" s="1556"/>
      <c r="K129" s="1556"/>
      <c r="L129" s="1557"/>
      <c r="M129" s="566"/>
      <c r="N129" s="631"/>
      <c r="O129" s="631"/>
      <c r="P129" s="631"/>
      <c r="Q129" s="596"/>
      <c r="S129" s="740"/>
      <c r="T129" s="596"/>
      <c r="U129" s="596"/>
      <c r="V129" s="739"/>
      <c r="AV129" s="545"/>
      <c r="AW129" s="545"/>
      <c r="AX129" s="545"/>
      <c r="AY129" s="545"/>
      <c r="AZ129" s="545"/>
      <c r="BA129" s="545"/>
      <c r="BB129" s="545"/>
      <c r="BC129" s="545"/>
      <c r="BD129" s="545"/>
      <c r="BE129" s="545"/>
      <c r="BF129" s="545"/>
    </row>
    <row r="130" spans="1:58" ht="60" customHeight="1" thickBot="1" x14ac:dyDescent="0.25">
      <c r="A130" s="610"/>
      <c r="B130" s="1477" t="s">
        <v>361</v>
      </c>
      <c r="C130" s="706"/>
      <c r="D130" s="542" t="s">
        <v>35</v>
      </c>
      <c r="E130" s="95" t="s">
        <v>228</v>
      </c>
      <c r="F130" s="95" t="s">
        <v>227</v>
      </c>
      <c r="G130" s="95" t="s">
        <v>156</v>
      </c>
      <c r="H130" s="95" t="s">
        <v>199</v>
      </c>
      <c r="I130" s="95" t="s">
        <v>154</v>
      </c>
      <c r="J130" s="95" t="s">
        <v>200</v>
      </c>
      <c r="K130" s="629" t="s">
        <v>155</v>
      </c>
      <c r="L130" s="96" t="s">
        <v>364</v>
      </c>
      <c r="M130" s="566"/>
      <c r="N130" s="694"/>
      <c r="O130" s="596"/>
      <c r="P130" s="596"/>
      <c r="Q130" s="739"/>
      <c r="S130" s="596"/>
      <c r="T130" s="596"/>
      <c r="U130" s="741"/>
      <c r="V130" s="742"/>
      <c r="W130" s="579"/>
      <c r="AV130" s="545"/>
      <c r="AW130" s="545"/>
      <c r="AX130" s="545"/>
      <c r="AY130" s="545"/>
      <c r="AZ130" s="545"/>
      <c r="BA130" s="545"/>
      <c r="BB130" s="545"/>
      <c r="BC130" s="545"/>
      <c r="BD130" s="545"/>
      <c r="BE130" s="545"/>
      <c r="BF130" s="545"/>
    </row>
    <row r="131" spans="1:58" ht="30" customHeight="1" thickBot="1" x14ac:dyDescent="0.25">
      <c r="A131" s="610"/>
      <c r="B131" s="1478"/>
      <c r="C131" s="706"/>
      <c r="D131" s="743"/>
      <c r="E131" s="744"/>
      <c r="F131" s="744"/>
      <c r="G131" s="744"/>
      <c r="H131" s="744"/>
      <c r="I131" s="744"/>
      <c r="J131" s="744"/>
      <c r="K131" s="745"/>
      <c r="L131" s="746"/>
      <c r="M131" s="566"/>
      <c r="N131" s="694"/>
      <c r="O131" s="596"/>
      <c r="P131" s="596"/>
      <c r="Q131" s="739"/>
      <c r="R131" s="579"/>
      <c r="S131" s="566"/>
      <c r="T131" s="659"/>
      <c r="U131" s="659"/>
      <c r="V131" s="659"/>
      <c r="W131" s="579"/>
      <c r="X131" s="579"/>
      <c r="Y131" s="579"/>
      <c r="Z131" s="579"/>
      <c r="AA131" s="579"/>
      <c r="AB131" s="579"/>
      <c r="AC131" s="579"/>
      <c r="AD131" s="545"/>
      <c r="AV131" s="545"/>
      <c r="AW131" s="545"/>
      <c r="AX131" s="545"/>
      <c r="AY131" s="545"/>
      <c r="AZ131" s="545"/>
      <c r="BA131" s="545"/>
      <c r="BB131" s="545"/>
      <c r="BC131" s="545"/>
      <c r="BD131" s="545"/>
      <c r="BE131" s="545"/>
      <c r="BF131" s="545"/>
    </row>
    <row r="132" spans="1:58" ht="43.5" customHeight="1" thickBot="1" x14ac:dyDescent="0.25">
      <c r="A132" s="610"/>
      <c r="B132" s="1479"/>
      <c r="C132" s="852" t="s">
        <v>198</v>
      </c>
      <c r="D132" s="853" t="s">
        <v>576</v>
      </c>
      <c r="E132" s="854">
        <v>4044</v>
      </c>
      <c r="F132" s="854">
        <v>120</v>
      </c>
      <c r="G132" s="854">
        <v>0.01</v>
      </c>
      <c r="H132" s="867">
        <v>0.18239</v>
      </c>
      <c r="I132" s="868">
        <v>2.9E-4</v>
      </c>
      <c r="J132" s="854">
        <v>2.2999999999999998</v>
      </c>
      <c r="K132" s="855">
        <v>43801</v>
      </c>
      <c r="L132" s="856" t="s">
        <v>577</v>
      </c>
      <c r="M132" s="566"/>
      <c r="N132" s="596"/>
      <c r="O132" s="596"/>
      <c r="P132" s="596"/>
      <c r="Q132" s="739"/>
      <c r="R132" s="579"/>
      <c r="S132" s="694"/>
      <c r="T132" s="631"/>
      <c r="U132" s="631"/>
      <c r="V132" s="596"/>
      <c r="W132" s="579"/>
      <c r="X132" s="579"/>
      <c r="Y132" s="579"/>
      <c r="Z132" s="579"/>
      <c r="AA132" s="579"/>
      <c r="AB132" s="579"/>
      <c r="AC132" s="579"/>
      <c r="AD132" s="545"/>
      <c r="AV132" s="545"/>
      <c r="AW132" s="545"/>
      <c r="AX132" s="545"/>
      <c r="AY132" s="545"/>
      <c r="AZ132" s="545"/>
      <c r="BA132" s="545"/>
      <c r="BB132" s="545"/>
      <c r="BC132" s="545"/>
      <c r="BD132" s="545"/>
      <c r="BE132" s="545"/>
      <c r="BF132" s="545"/>
    </row>
    <row r="133" spans="1:58" ht="30" customHeight="1" x14ac:dyDescent="0.2">
      <c r="A133" s="610"/>
      <c r="B133" s="747"/>
      <c r="C133" s="605"/>
      <c r="D133" s="748"/>
      <c r="E133" s="605"/>
      <c r="F133" s="605"/>
      <c r="G133" s="605"/>
      <c r="H133" s="605"/>
      <c r="I133" s="605"/>
      <c r="J133" s="605"/>
      <c r="K133" s="649"/>
      <c r="L133" s="749"/>
      <c r="M133" s="566"/>
      <c r="N133" s="596"/>
      <c r="O133" s="578"/>
      <c r="P133" s="578"/>
      <c r="Q133" s="578"/>
      <c r="S133" s="694"/>
      <c r="T133" s="750"/>
      <c r="U133" s="750"/>
      <c r="V133" s="739"/>
      <c r="W133" s="579"/>
      <c r="X133" s="579"/>
      <c r="Y133" s="579"/>
      <c r="Z133" s="579"/>
      <c r="AA133" s="579"/>
      <c r="AB133" s="579"/>
      <c r="AC133" s="579"/>
      <c r="AD133" s="545"/>
      <c r="AV133" s="545"/>
      <c r="AW133" s="545"/>
      <c r="AX133" s="545"/>
      <c r="AY133" s="545"/>
      <c r="AZ133" s="545"/>
      <c r="BA133" s="545"/>
      <c r="BB133" s="545"/>
      <c r="BC133" s="545"/>
      <c r="BD133" s="545"/>
      <c r="BE133" s="545"/>
      <c r="BF133" s="545"/>
    </row>
    <row r="134" spans="1:58" ht="30" customHeight="1" thickBot="1" x14ac:dyDescent="0.25">
      <c r="A134" s="610"/>
      <c r="B134" s="545"/>
      <c r="C134" s="545"/>
      <c r="D134" s="545"/>
      <c r="E134" s="545"/>
      <c r="F134" s="545"/>
      <c r="G134" s="545"/>
      <c r="H134" s="545"/>
      <c r="I134" s="545"/>
      <c r="J134" s="545"/>
      <c r="K134" s="612"/>
      <c r="L134" s="545"/>
      <c r="M134" s="566"/>
      <c r="N134" s="566"/>
      <c r="O134" s="1436"/>
      <c r="P134" s="1436"/>
      <c r="Q134" s="1436"/>
      <c r="S134" s="694"/>
      <c r="T134" s="596"/>
      <c r="U134" s="596"/>
      <c r="V134" s="739"/>
      <c r="W134" s="579"/>
      <c r="X134" s="579"/>
      <c r="Y134" s="579"/>
      <c r="Z134" s="579"/>
      <c r="AA134" s="579"/>
      <c r="AB134" s="579"/>
      <c r="AC134" s="579"/>
      <c r="AD134" s="545"/>
      <c r="AV134" s="545"/>
      <c r="AW134" s="545"/>
      <c r="AX134" s="545"/>
      <c r="AY134" s="545"/>
      <c r="AZ134" s="545"/>
      <c r="BA134" s="545"/>
      <c r="BB134" s="545"/>
      <c r="BC134" s="545"/>
      <c r="BD134" s="545"/>
      <c r="BE134" s="545"/>
      <c r="BF134" s="545"/>
    </row>
    <row r="135" spans="1:58" ht="30" customHeight="1" thickBot="1" x14ac:dyDescent="0.25">
      <c r="A135" s="610"/>
      <c r="B135" s="1553" t="s">
        <v>169</v>
      </c>
      <c r="C135" s="1554"/>
      <c r="D135" s="1554"/>
      <c r="E135" s="1554"/>
      <c r="F135" s="1554"/>
      <c r="G135" s="1554"/>
      <c r="H135" s="1554"/>
      <c r="I135" s="1554"/>
      <c r="J135" s="1554"/>
      <c r="K135" s="1554"/>
      <c r="L135" s="1555"/>
      <c r="M135" s="566"/>
      <c r="N135" s="631"/>
      <c r="O135" s="631"/>
      <c r="P135" s="631"/>
      <c r="Q135" s="596"/>
      <c r="S135" s="740"/>
      <c r="T135" s="596"/>
      <c r="U135" s="596"/>
      <c r="V135" s="739"/>
      <c r="W135" s="579"/>
      <c r="X135" s="579"/>
      <c r="Y135" s="579"/>
      <c r="Z135" s="579"/>
      <c r="AA135" s="579"/>
      <c r="AB135" s="579"/>
      <c r="AC135" s="579"/>
      <c r="AD135" s="545"/>
      <c r="AV135" s="545"/>
      <c r="AW135" s="545"/>
      <c r="AX135" s="545"/>
      <c r="AY135" s="545"/>
      <c r="AZ135" s="545"/>
      <c r="BA135" s="545"/>
      <c r="BB135" s="545"/>
      <c r="BC135" s="545"/>
      <c r="BD135" s="545"/>
      <c r="BE135" s="545"/>
      <c r="BF135" s="545"/>
    </row>
    <row r="136" spans="1:58" ht="60" customHeight="1" thickBot="1" x14ac:dyDescent="0.25">
      <c r="A136" s="610"/>
      <c r="B136" s="545"/>
      <c r="C136" s="605"/>
      <c r="D136" s="542" t="s">
        <v>35</v>
      </c>
      <c r="E136" s="544" t="s">
        <v>228</v>
      </c>
      <c r="F136" s="95" t="s">
        <v>229</v>
      </c>
      <c r="G136" s="95" t="s">
        <v>156</v>
      </c>
      <c r="H136" s="95" t="s">
        <v>199</v>
      </c>
      <c r="I136" s="95" t="s">
        <v>154</v>
      </c>
      <c r="J136" s="95" t="s">
        <v>200</v>
      </c>
      <c r="K136" s="751" t="s">
        <v>155</v>
      </c>
      <c r="L136" s="96" t="s">
        <v>364</v>
      </c>
      <c r="M136" s="566"/>
      <c r="N136" s="694"/>
      <c r="O136" s="596"/>
      <c r="P136" s="596"/>
      <c r="Q136" s="739"/>
      <c r="S136" s="694"/>
      <c r="T136" s="596"/>
      <c r="U136" s="596"/>
      <c r="V136" s="752"/>
      <c r="W136" s="579"/>
      <c r="X136" s="579"/>
      <c r="Y136" s="579"/>
      <c r="Z136" s="579"/>
      <c r="AA136" s="579"/>
      <c r="AB136" s="579"/>
      <c r="AC136" s="579"/>
      <c r="AD136" s="545"/>
      <c r="AV136" s="545"/>
      <c r="AW136" s="545"/>
      <c r="AX136" s="545"/>
      <c r="AY136" s="545"/>
      <c r="AZ136" s="545"/>
      <c r="BA136" s="545"/>
      <c r="BB136" s="545"/>
      <c r="BC136" s="545"/>
      <c r="BD136" s="545"/>
      <c r="BE136" s="545"/>
      <c r="BF136" s="545"/>
    </row>
    <row r="137" spans="1:58" ht="30" customHeight="1" thickBot="1" x14ac:dyDescent="0.25">
      <c r="A137" s="610"/>
      <c r="B137" s="545"/>
      <c r="C137" s="605"/>
      <c r="D137" s="753"/>
      <c r="E137" s="754"/>
      <c r="F137" s="754"/>
      <c r="G137" s="754"/>
      <c r="H137" s="754"/>
      <c r="I137" s="754"/>
      <c r="J137" s="754"/>
      <c r="K137" s="755"/>
      <c r="L137" s="756"/>
      <c r="M137" s="566"/>
      <c r="N137" s="694"/>
      <c r="O137" s="596"/>
      <c r="P137" s="596"/>
      <c r="Q137" s="739"/>
      <c r="W137" s="579"/>
      <c r="X137" s="579"/>
      <c r="Y137" s="579"/>
      <c r="Z137" s="579"/>
      <c r="AA137" s="579"/>
      <c r="AB137" s="579"/>
      <c r="AC137" s="579"/>
      <c r="AD137" s="545"/>
      <c r="AV137" s="545"/>
      <c r="AW137" s="545"/>
      <c r="AX137" s="545"/>
      <c r="AY137" s="545"/>
      <c r="AZ137" s="545"/>
      <c r="BA137" s="545"/>
      <c r="BB137" s="545"/>
      <c r="BC137" s="545"/>
      <c r="BD137" s="545"/>
      <c r="BE137" s="545"/>
      <c r="BF137" s="545"/>
    </row>
    <row r="138" spans="1:58" ht="33.950000000000003" customHeight="1" x14ac:dyDescent="0.2">
      <c r="A138" s="610"/>
      <c r="B138" s="1550" t="s">
        <v>497</v>
      </c>
      <c r="C138" s="650" t="s">
        <v>489</v>
      </c>
      <c r="D138" s="1558" t="s">
        <v>236</v>
      </c>
      <c r="E138" s="616">
        <v>16901291</v>
      </c>
      <c r="F138" s="939">
        <v>5</v>
      </c>
      <c r="G138" s="616">
        <v>0.01</v>
      </c>
      <c r="H138" s="711">
        <v>4.0000000000000001E-3</v>
      </c>
      <c r="I138" s="940">
        <v>1.5E-3</v>
      </c>
      <c r="J138" s="735">
        <v>2</v>
      </c>
      <c r="K138" s="858">
        <v>43978</v>
      </c>
      <c r="L138" s="944" t="s">
        <v>567</v>
      </c>
      <c r="M138" s="566"/>
      <c r="N138" s="596"/>
      <c r="O138" s="596"/>
      <c r="P138" s="596"/>
      <c r="Q138" s="739"/>
      <c r="W138" s="579"/>
      <c r="X138" s="579"/>
      <c r="Y138" s="579"/>
      <c r="Z138" s="579"/>
      <c r="AA138" s="579"/>
      <c r="AB138" s="579"/>
      <c r="AC138" s="579"/>
      <c r="AD138" s="545"/>
      <c r="AV138" s="545"/>
      <c r="AW138" s="545"/>
      <c r="AX138" s="545"/>
      <c r="AY138" s="545"/>
      <c r="AZ138" s="545"/>
      <c r="BA138" s="545"/>
      <c r="BB138" s="545"/>
      <c r="BC138" s="545"/>
      <c r="BD138" s="545"/>
      <c r="BE138" s="545"/>
      <c r="BF138" s="545"/>
    </row>
    <row r="139" spans="1:58" ht="33.950000000000003" customHeight="1" x14ac:dyDescent="0.2">
      <c r="A139" s="610"/>
      <c r="B139" s="1551"/>
      <c r="C139" s="783" t="s">
        <v>490</v>
      </c>
      <c r="D139" s="1559"/>
      <c r="E139" s="845">
        <v>16901291</v>
      </c>
      <c r="F139" s="719">
        <v>20</v>
      </c>
      <c r="G139" s="570">
        <v>0.01</v>
      </c>
      <c r="H139" s="725">
        <v>2E-3</v>
      </c>
      <c r="I139" s="941">
        <v>1.5E-3</v>
      </c>
      <c r="J139" s="716">
        <v>2</v>
      </c>
      <c r="K139" s="859">
        <v>43978</v>
      </c>
      <c r="L139" s="945" t="s">
        <v>567</v>
      </c>
      <c r="M139" s="566"/>
      <c r="N139" s="596"/>
      <c r="O139" s="578"/>
      <c r="P139" s="578"/>
      <c r="Q139" s="578"/>
      <c r="W139" s="579"/>
      <c r="X139" s="579"/>
      <c r="Y139" s="579"/>
      <c r="Z139" s="579"/>
      <c r="AA139" s="579"/>
      <c r="AB139" s="579"/>
      <c r="AC139" s="579"/>
      <c r="AD139" s="545"/>
      <c r="AV139" s="545"/>
      <c r="AW139" s="545"/>
      <c r="AX139" s="545"/>
      <c r="AY139" s="545"/>
      <c r="AZ139" s="545"/>
      <c r="BA139" s="545"/>
      <c r="BB139" s="545"/>
      <c r="BC139" s="545"/>
      <c r="BD139" s="545"/>
      <c r="BE139" s="545"/>
      <c r="BF139" s="545"/>
    </row>
    <row r="140" spans="1:58" ht="33.950000000000003" customHeight="1" x14ac:dyDescent="0.2">
      <c r="A140" s="610"/>
      <c r="B140" s="1551"/>
      <c r="C140" s="783" t="s">
        <v>491</v>
      </c>
      <c r="D140" s="1559"/>
      <c r="E140" s="570">
        <v>16901291</v>
      </c>
      <c r="F140" s="719">
        <v>50</v>
      </c>
      <c r="G140" s="570">
        <v>0.01</v>
      </c>
      <c r="H140" s="725">
        <v>-2E-3</v>
      </c>
      <c r="I140" s="941">
        <v>1.5E-3</v>
      </c>
      <c r="J140" s="716">
        <v>2</v>
      </c>
      <c r="K140" s="859">
        <v>43978</v>
      </c>
      <c r="L140" s="945" t="s">
        <v>567</v>
      </c>
      <c r="M140" s="566"/>
      <c r="N140" s="566"/>
      <c r="O140" s="1436"/>
      <c r="P140" s="1436"/>
      <c r="Q140" s="1436"/>
      <c r="W140" s="579"/>
      <c r="X140" s="579"/>
      <c r="Y140" s="579"/>
      <c r="Z140" s="579"/>
      <c r="AA140" s="579"/>
      <c r="AB140" s="579"/>
      <c r="AC140" s="579"/>
      <c r="AD140" s="545"/>
      <c r="AV140" s="545"/>
      <c r="AW140" s="545"/>
      <c r="AX140" s="545"/>
      <c r="AY140" s="545"/>
      <c r="AZ140" s="545"/>
      <c r="BA140" s="545"/>
      <c r="BB140" s="545"/>
      <c r="BC140" s="545"/>
      <c r="BD140" s="545"/>
      <c r="BE140" s="545"/>
      <c r="BF140" s="545"/>
    </row>
    <row r="141" spans="1:58" ht="33.950000000000003" customHeight="1" x14ac:dyDescent="0.2">
      <c r="A141" s="610"/>
      <c r="B141" s="1551"/>
      <c r="C141" s="783" t="s">
        <v>492</v>
      </c>
      <c r="D141" s="1559"/>
      <c r="E141" s="570">
        <v>16901291</v>
      </c>
      <c r="F141" s="719">
        <v>70</v>
      </c>
      <c r="G141" s="570">
        <v>0.01</v>
      </c>
      <c r="H141" s="725">
        <v>-4.0000000000000001E-3</v>
      </c>
      <c r="I141" s="941">
        <v>1.5E-3</v>
      </c>
      <c r="J141" s="716">
        <v>2</v>
      </c>
      <c r="K141" s="859">
        <v>43978</v>
      </c>
      <c r="L141" s="945" t="s">
        <v>567</v>
      </c>
      <c r="M141" s="566"/>
      <c r="N141" s="631"/>
      <c r="O141" s="631"/>
      <c r="P141" s="631"/>
      <c r="Q141" s="596"/>
      <c r="W141" s="579"/>
      <c r="X141" s="579"/>
      <c r="Y141" s="579"/>
      <c r="Z141" s="579"/>
      <c r="AA141" s="579"/>
      <c r="AB141" s="579"/>
      <c r="AC141" s="579"/>
      <c r="AD141" s="545"/>
      <c r="AV141" s="545"/>
      <c r="AW141" s="545"/>
      <c r="AX141" s="545"/>
      <c r="AY141" s="545"/>
      <c r="AZ141" s="545"/>
      <c r="BA141" s="545"/>
      <c r="BB141" s="545"/>
      <c r="BC141" s="545"/>
      <c r="BD141" s="545"/>
      <c r="BE141" s="545"/>
      <c r="BF141" s="545"/>
    </row>
    <row r="142" spans="1:58" ht="33.950000000000003" customHeight="1" x14ac:dyDescent="0.2">
      <c r="A142" s="610"/>
      <c r="B142" s="1551"/>
      <c r="C142" s="783" t="s">
        <v>493</v>
      </c>
      <c r="D142" s="1559"/>
      <c r="E142" s="570">
        <v>16901291</v>
      </c>
      <c r="F142" s="719">
        <v>100</v>
      </c>
      <c r="G142" s="570">
        <v>0.01</v>
      </c>
      <c r="H142" s="725">
        <v>-4.0000000000000001E-3</v>
      </c>
      <c r="I142" s="941">
        <v>1.5E-3</v>
      </c>
      <c r="J142" s="716">
        <v>2</v>
      </c>
      <c r="K142" s="859">
        <v>43978</v>
      </c>
      <c r="L142" s="945" t="s">
        <v>567</v>
      </c>
      <c r="M142" s="566"/>
      <c r="N142" s="694"/>
      <c r="O142" s="596"/>
      <c r="P142" s="596"/>
      <c r="Q142" s="739"/>
      <c r="R142" s="579"/>
      <c r="W142" s="579"/>
      <c r="X142" s="579"/>
      <c r="Y142" s="579"/>
      <c r="Z142" s="579"/>
      <c r="AA142" s="579"/>
      <c r="AB142" s="579"/>
      <c r="AC142" s="579"/>
      <c r="AD142" s="545"/>
      <c r="AV142" s="545"/>
      <c r="AW142" s="545"/>
      <c r="AX142" s="545"/>
      <c r="AY142" s="545"/>
      <c r="AZ142" s="545"/>
      <c r="BA142" s="545"/>
      <c r="BB142" s="545"/>
      <c r="BC142" s="545"/>
      <c r="BD142" s="545"/>
      <c r="BE142" s="545"/>
      <c r="BF142" s="545"/>
    </row>
    <row r="143" spans="1:58" ht="33.950000000000003" customHeight="1" x14ac:dyDescent="0.2">
      <c r="A143" s="610"/>
      <c r="B143" s="1551"/>
      <c r="C143" s="783" t="s">
        <v>494</v>
      </c>
      <c r="D143" s="1559"/>
      <c r="E143" s="570">
        <v>16901291</v>
      </c>
      <c r="F143" s="719">
        <v>150</v>
      </c>
      <c r="G143" s="570">
        <v>0.01</v>
      </c>
      <c r="H143" s="725">
        <v>-4.0000000000000001E-3</v>
      </c>
      <c r="I143" s="941">
        <v>1.5E-3</v>
      </c>
      <c r="J143" s="716">
        <v>2</v>
      </c>
      <c r="K143" s="859">
        <v>43978</v>
      </c>
      <c r="L143" s="945" t="s">
        <v>567</v>
      </c>
      <c r="M143" s="566"/>
      <c r="N143" s="694"/>
      <c r="O143" s="596"/>
      <c r="P143" s="596"/>
      <c r="Q143" s="739"/>
      <c r="R143" s="579"/>
      <c r="S143" s="579"/>
      <c r="T143" s="579"/>
      <c r="U143" s="579"/>
      <c r="V143" s="579"/>
      <c r="W143" s="579"/>
      <c r="X143" s="579"/>
      <c r="Y143" s="579"/>
      <c r="Z143" s="579"/>
      <c r="AA143" s="579"/>
      <c r="AB143" s="579"/>
      <c r="AC143" s="579"/>
      <c r="AD143" s="545"/>
      <c r="AV143" s="545"/>
      <c r="AW143" s="545"/>
      <c r="AX143" s="545"/>
      <c r="AY143" s="545"/>
      <c r="AZ143" s="545"/>
      <c r="BA143" s="545"/>
      <c r="BB143" s="545"/>
      <c r="BC143" s="545"/>
      <c r="BD143" s="545"/>
      <c r="BE143" s="545"/>
      <c r="BF143" s="545"/>
    </row>
    <row r="144" spans="1:58" ht="33.950000000000003" customHeight="1" thickBot="1" x14ac:dyDescent="0.25">
      <c r="A144" s="610"/>
      <c r="B144" s="1552"/>
      <c r="C144" s="784" t="s">
        <v>495</v>
      </c>
      <c r="D144" s="1560"/>
      <c r="E144" s="622">
        <v>16901291</v>
      </c>
      <c r="F144" s="729">
        <v>200</v>
      </c>
      <c r="G144" s="622">
        <v>0.01</v>
      </c>
      <c r="H144" s="942">
        <v>-2E-3</v>
      </c>
      <c r="I144" s="943">
        <v>1.5E-3</v>
      </c>
      <c r="J144" s="624">
        <v>2</v>
      </c>
      <c r="K144" s="860">
        <v>43978</v>
      </c>
      <c r="L144" s="946" t="s">
        <v>567</v>
      </c>
      <c r="M144" s="566"/>
      <c r="N144" s="596"/>
      <c r="O144" s="596"/>
      <c r="P144" s="596"/>
      <c r="Q144" s="739"/>
      <c r="R144" s="579"/>
      <c r="S144" s="579"/>
      <c r="T144" s="579"/>
      <c r="U144" s="579"/>
      <c r="V144" s="579"/>
      <c r="W144" s="579"/>
      <c r="X144" s="579"/>
      <c r="Y144" s="579"/>
      <c r="Z144" s="579"/>
      <c r="AA144" s="579"/>
      <c r="AB144" s="579"/>
      <c r="AC144" s="579"/>
      <c r="AD144" s="545"/>
      <c r="AH144" s="545"/>
      <c r="AI144" s="605"/>
      <c r="AJ144" s="605"/>
      <c r="AK144" s="605"/>
      <c r="AL144" s="605"/>
      <c r="AM144" s="605"/>
      <c r="AN144" s="605"/>
      <c r="AO144" s="605"/>
      <c r="AP144" s="605"/>
      <c r="AQ144" s="649"/>
      <c r="AR144" s="605"/>
      <c r="AS144" s="605"/>
      <c r="AV144" s="545"/>
      <c r="AW144" s="545"/>
      <c r="AX144" s="545"/>
      <c r="AY144" s="545"/>
      <c r="AZ144" s="545"/>
      <c r="BA144" s="545"/>
      <c r="BB144" s="545"/>
      <c r="BC144" s="545"/>
      <c r="BD144" s="545"/>
      <c r="BE144" s="545"/>
      <c r="BF144" s="545"/>
    </row>
    <row r="145" spans="1:58" ht="35.1" customHeight="1" thickBot="1" x14ac:dyDescent="0.25">
      <c r="A145" s="610"/>
      <c r="B145" s="545"/>
      <c r="C145" s="545"/>
      <c r="D145" s="545"/>
      <c r="E145" s="757"/>
      <c r="F145" s="693"/>
      <c r="G145" s="693"/>
      <c r="H145" s="758"/>
      <c r="I145" s="693"/>
      <c r="J145" s="693"/>
      <c r="K145" s="759"/>
      <c r="L145" s="760"/>
      <c r="N145" s="596"/>
      <c r="O145" s="578"/>
      <c r="P145" s="578"/>
      <c r="Q145" s="578"/>
      <c r="X145" s="605"/>
      <c r="Y145" s="605"/>
      <c r="Z145" s="605"/>
      <c r="AA145" s="605"/>
      <c r="AB145" s="605"/>
      <c r="AC145" s="545"/>
      <c r="AD145" s="545"/>
      <c r="AH145" s="545"/>
      <c r="AI145" s="545"/>
      <c r="AJ145" s="545"/>
      <c r="AK145" s="545"/>
      <c r="AL145" s="545"/>
      <c r="AM145" s="545"/>
      <c r="AN145" s="545"/>
      <c r="AO145" s="545"/>
      <c r="AP145" s="545"/>
      <c r="AQ145" s="612"/>
      <c r="AR145" s="545"/>
      <c r="AS145" s="605"/>
      <c r="AV145" s="545"/>
      <c r="AW145" s="545"/>
      <c r="AX145" s="545"/>
      <c r="AY145" s="545"/>
      <c r="AZ145" s="545"/>
      <c r="BA145" s="545"/>
      <c r="BB145" s="545"/>
      <c r="BC145" s="545"/>
      <c r="BD145" s="545"/>
      <c r="BE145" s="545"/>
      <c r="BF145" s="545"/>
    </row>
    <row r="146" spans="1:58" ht="33.950000000000003" customHeight="1" x14ac:dyDescent="0.2">
      <c r="A146" s="610"/>
      <c r="B146" s="1550" t="s">
        <v>496</v>
      </c>
      <c r="C146" s="650" t="s">
        <v>489</v>
      </c>
      <c r="D146" s="1558" t="s">
        <v>236</v>
      </c>
      <c r="E146" s="616">
        <v>16901291</v>
      </c>
      <c r="F146" s="939">
        <v>5</v>
      </c>
      <c r="G146" s="616">
        <v>0.01</v>
      </c>
      <c r="H146" s="711">
        <v>0</v>
      </c>
      <c r="I146" s="940">
        <v>1.8E-3</v>
      </c>
      <c r="J146" s="735">
        <v>2</v>
      </c>
      <c r="K146" s="858">
        <v>43978</v>
      </c>
      <c r="L146" s="944" t="s">
        <v>567</v>
      </c>
      <c r="M146" s="566"/>
      <c r="N146" s="566"/>
      <c r="O146" s="1436"/>
      <c r="P146" s="1436"/>
      <c r="Q146" s="1436"/>
      <c r="Z146" s="545"/>
      <c r="AA146" s="545"/>
      <c r="AB146" s="545"/>
      <c r="AC146" s="545"/>
      <c r="AD146" s="545"/>
      <c r="AH146" s="545"/>
      <c r="AI146" s="545"/>
      <c r="AJ146" s="545"/>
      <c r="AK146" s="545"/>
      <c r="AL146" s="545"/>
      <c r="AM146" s="545"/>
      <c r="AN146" s="545"/>
      <c r="AO146" s="545"/>
      <c r="AP146" s="545"/>
      <c r="AQ146" s="612"/>
      <c r="AR146" s="545"/>
      <c r="AS146" s="605"/>
      <c r="AV146" s="545"/>
      <c r="AW146" s="545"/>
      <c r="AX146" s="545"/>
      <c r="AY146" s="545"/>
      <c r="AZ146" s="545"/>
      <c r="BA146" s="545"/>
      <c r="BB146" s="545"/>
      <c r="BC146" s="545"/>
      <c r="BD146" s="545"/>
      <c r="BE146" s="545"/>
      <c r="BF146" s="545"/>
    </row>
    <row r="147" spans="1:58" ht="33.950000000000003" customHeight="1" x14ac:dyDescent="0.2">
      <c r="A147" s="610"/>
      <c r="B147" s="1551"/>
      <c r="C147" s="783" t="s">
        <v>490</v>
      </c>
      <c r="D147" s="1559"/>
      <c r="E147" s="570">
        <v>16901291</v>
      </c>
      <c r="F147" s="719">
        <v>20</v>
      </c>
      <c r="G147" s="570">
        <v>0.01</v>
      </c>
      <c r="H147" s="725">
        <v>0</v>
      </c>
      <c r="I147" s="941">
        <v>1.8E-3</v>
      </c>
      <c r="J147" s="716">
        <v>2</v>
      </c>
      <c r="K147" s="859">
        <v>43978</v>
      </c>
      <c r="L147" s="945" t="s">
        <v>567</v>
      </c>
      <c r="M147" s="566"/>
      <c r="N147" s="631"/>
      <c r="O147" s="631"/>
      <c r="P147" s="631"/>
      <c r="Q147" s="596"/>
      <c r="W147" s="545"/>
      <c r="X147" s="545"/>
      <c r="Y147" s="545"/>
      <c r="Z147" s="545"/>
      <c r="AA147" s="545"/>
      <c r="AB147" s="545"/>
      <c r="AC147" s="545"/>
      <c r="AD147" s="545"/>
      <c r="BD147" s="545"/>
      <c r="BE147" s="545"/>
      <c r="BF147" s="545"/>
    </row>
    <row r="148" spans="1:58" ht="33.950000000000003" customHeight="1" x14ac:dyDescent="0.2">
      <c r="A148" s="610"/>
      <c r="B148" s="1551"/>
      <c r="C148" s="783" t="s">
        <v>491</v>
      </c>
      <c r="D148" s="1559"/>
      <c r="E148" s="570">
        <v>16901291</v>
      </c>
      <c r="F148" s="719">
        <v>50</v>
      </c>
      <c r="G148" s="570">
        <v>0.01</v>
      </c>
      <c r="H148" s="725">
        <v>-4.0000000000000001E-3</v>
      </c>
      <c r="I148" s="941">
        <v>1.8E-3</v>
      </c>
      <c r="J148" s="716">
        <v>2</v>
      </c>
      <c r="K148" s="859">
        <v>43978</v>
      </c>
      <c r="L148" s="945" t="s">
        <v>567</v>
      </c>
      <c r="M148" s="566"/>
      <c r="N148" s="694"/>
      <c r="O148" s="596"/>
      <c r="P148" s="596"/>
      <c r="Q148" s="739"/>
      <c r="W148" s="549"/>
      <c r="X148" s="549"/>
      <c r="Y148" s="549"/>
      <c r="Z148" s="549"/>
      <c r="AA148" s="549"/>
      <c r="AB148" s="549"/>
      <c r="AV148" s="545"/>
      <c r="AW148" s="545"/>
      <c r="AX148" s="545"/>
      <c r="AY148" s="545"/>
      <c r="AZ148" s="545"/>
      <c r="BA148" s="545"/>
      <c r="BB148" s="545"/>
      <c r="BC148" s="545"/>
      <c r="BD148" s="545"/>
      <c r="BE148" s="545"/>
      <c r="BF148" s="545"/>
    </row>
    <row r="149" spans="1:58" ht="33.950000000000003" customHeight="1" x14ac:dyDescent="0.2">
      <c r="A149" s="610"/>
      <c r="B149" s="1551"/>
      <c r="C149" s="783" t="s">
        <v>492</v>
      </c>
      <c r="D149" s="1559"/>
      <c r="E149" s="570">
        <v>16901291</v>
      </c>
      <c r="F149" s="719">
        <v>70.010000000000005</v>
      </c>
      <c r="G149" s="570">
        <v>0.01</v>
      </c>
      <c r="H149" s="725">
        <v>-6.0000000000000001E-3</v>
      </c>
      <c r="I149" s="941">
        <v>1.8E-3</v>
      </c>
      <c r="J149" s="716">
        <v>2</v>
      </c>
      <c r="K149" s="859">
        <v>43978</v>
      </c>
      <c r="L149" s="945" t="s">
        <v>567</v>
      </c>
      <c r="M149" s="566"/>
      <c r="N149" s="694"/>
      <c r="O149" s="596"/>
      <c r="P149" s="596"/>
      <c r="Q149" s="739"/>
      <c r="W149" s="549"/>
      <c r="X149" s="549"/>
      <c r="Y149" s="549"/>
      <c r="Z149" s="549"/>
      <c r="AA149" s="549"/>
      <c r="AB149" s="549"/>
      <c r="AV149" s="545"/>
      <c r="AW149" s="545"/>
      <c r="AX149" s="545"/>
      <c r="AY149" s="545"/>
      <c r="AZ149" s="545"/>
      <c r="BA149" s="545"/>
      <c r="BB149" s="545"/>
      <c r="BC149" s="545"/>
      <c r="BD149" s="545"/>
      <c r="BE149" s="545"/>
      <c r="BF149" s="545"/>
    </row>
    <row r="150" spans="1:58" ht="33.950000000000003" customHeight="1" x14ac:dyDescent="0.2">
      <c r="A150" s="610"/>
      <c r="B150" s="1551"/>
      <c r="C150" s="783" t="s">
        <v>493</v>
      </c>
      <c r="D150" s="1559"/>
      <c r="E150" s="570">
        <v>16901291</v>
      </c>
      <c r="F150" s="719">
        <v>100</v>
      </c>
      <c r="G150" s="570">
        <v>0.01</v>
      </c>
      <c r="H150" s="725">
        <v>-4.0000000000000001E-3</v>
      </c>
      <c r="I150" s="941">
        <v>1.8E-3</v>
      </c>
      <c r="J150" s="716">
        <v>2</v>
      </c>
      <c r="K150" s="859">
        <v>43978</v>
      </c>
      <c r="L150" s="945" t="s">
        <v>567</v>
      </c>
      <c r="M150" s="566"/>
      <c r="N150" s="596"/>
      <c r="O150" s="596"/>
      <c r="P150" s="596"/>
      <c r="Q150" s="739"/>
    </row>
    <row r="151" spans="1:58" ht="33.950000000000003" customHeight="1" x14ac:dyDescent="0.2">
      <c r="A151" s="610"/>
      <c r="B151" s="1551"/>
      <c r="C151" s="783" t="s">
        <v>494</v>
      </c>
      <c r="D151" s="1559"/>
      <c r="E151" s="570">
        <v>16901291</v>
      </c>
      <c r="F151" s="719">
        <v>150.01</v>
      </c>
      <c r="G151" s="570">
        <v>0.01</v>
      </c>
      <c r="H151" s="725">
        <v>-6.0000000000000001E-3</v>
      </c>
      <c r="I151" s="941">
        <v>1.8E-3</v>
      </c>
      <c r="J151" s="716">
        <v>2</v>
      </c>
      <c r="K151" s="859">
        <v>43978</v>
      </c>
      <c r="L151" s="945" t="s">
        <v>567</v>
      </c>
      <c r="M151" s="566"/>
      <c r="N151" s="596"/>
      <c r="O151" s="578"/>
      <c r="P151" s="761"/>
      <c r="Q151" s="578"/>
    </row>
    <row r="152" spans="1:58" ht="33.950000000000003" customHeight="1" thickBot="1" x14ac:dyDescent="0.25">
      <c r="A152" s="610"/>
      <c r="B152" s="1552"/>
      <c r="C152" s="784" t="s">
        <v>498</v>
      </c>
      <c r="D152" s="1560"/>
      <c r="E152" s="622">
        <v>16901291</v>
      </c>
      <c r="F152" s="729">
        <v>200.01</v>
      </c>
      <c r="G152" s="622">
        <v>0.01</v>
      </c>
      <c r="H152" s="942">
        <v>-6.0000000000000001E-3</v>
      </c>
      <c r="I152" s="943">
        <v>1.8E-3</v>
      </c>
      <c r="J152" s="624">
        <v>2</v>
      </c>
      <c r="K152" s="860">
        <v>43978</v>
      </c>
      <c r="L152" s="946" t="s">
        <v>567</v>
      </c>
      <c r="M152" s="566"/>
      <c r="N152" s="566"/>
      <c r="O152" s="1436"/>
      <c r="P152" s="1436"/>
      <c r="Q152" s="1436"/>
    </row>
    <row r="153" spans="1:58" ht="35.1" customHeight="1" x14ac:dyDescent="0.2">
      <c r="A153" s="610"/>
      <c r="B153" s="545"/>
      <c r="C153" s="545"/>
      <c r="D153" s="605"/>
      <c r="E153" s="545"/>
      <c r="F153" s="545"/>
      <c r="G153" s="545"/>
      <c r="H153" s="545"/>
      <c r="I153" s="545"/>
      <c r="J153" s="545"/>
      <c r="K153" s="612"/>
      <c r="L153" s="545"/>
      <c r="M153" s="566"/>
      <c r="N153" s="631"/>
      <c r="O153" s="631"/>
      <c r="P153" s="631"/>
      <c r="Q153" s="596"/>
    </row>
    <row r="154" spans="1:58" ht="35.1" customHeight="1" x14ac:dyDescent="0.2">
      <c r="A154" s="610"/>
      <c r="B154" s="545"/>
      <c r="C154" s="545"/>
      <c r="D154" s="605"/>
      <c r="E154" s="545"/>
      <c r="F154" s="545"/>
      <c r="G154" s="545"/>
      <c r="H154" s="545"/>
      <c r="I154" s="545"/>
      <c r="J154" s="545"/>
      <c r="K154" s="612"/>
      <c r="L154" s="545"/>
      <c r="M154" s="566"/>
      <c r="N154" s="694"/>
      <c r="O154" s="596"/>
      <c r="P154" s="596"/>
      <c r="Q154" s="739"/>
    </row>
    <row r="156" spans="1:58" ht="35.1" customHeight="1" thickBot="1" x14ac:dyDescent="0.25">
      <c r="B156" s="762"/>
      <c r="C156" s="744"/>
      <c r="D156" s="743"/>
      <c r="E156" s="683"/>
      <c r="F156" s="683"/>
      <c r="G156" s="683"/>
      <c r="H156" s="683"/>
      <c r="I156" s="683"/>
      <c r="J156" s="683"/>
      <c r="K156" s="763"/>
      <c r="L156" s="764"/>
      <c r="M156" s="684"/>
    </row>
    <row r="157" spans="1:58" ht="51.75" customHeight="1" thickBot="1" x14ac:dyDescent="0.25">
      <c r="B157" s="833" t="s">
        <v>281</v>
      </c>
      <c r="C157" s="834" t="str">
        <f>D111</f>
        <v>Fabricante</v>
      </c>
      <c r="D157" s="835" t="str">
        <f>E36</f>
        <v>Identificación / Serie</v>
      </c>
      <c r="E157" s="835" t="str">
        <f>S54</f>
        <v>Fecha de Calibración</v>
      </c>
      <c r="F157" s="835" t="str">
        <f>T54</f>
        <v>Trazabilidad y numero</v>
      </c>
      <c r="G157" s="835" t="s">
        <v>3</v>
      </c>
      <c r="H157" s="835" t="s">
        <v>476</v>
      </c>
      <c r="I157" s="835" t="s">
        <v>15</v>
      </c>
      <c r="J157" s="835" t="s">
        <v>441</v>
      </c>
      <c r="K157" s="835" t="s">
        <v>442</v>
      </c>
      <c r="L157" s="835" t="s">
        <v>501</v>
      </c>
      <c r="M157" s="835" t="s">
        <v>500</v>
      </c>
      <c r="N157" s="835" t="s">
        <v>443</v>
      </c>
      <c r="O157" s="836" t="s">
        <v>444</v>
      </c>
    </row>
    <row r="158" spans="1:58" ht="35.1" customHeight="1" thickBot="1" x14ac:dyDescent="0.25">
      <c r="B158" s="765"/>
      <c r="C158" s="766"/>
      <c r="D158" s="766"/>
      <c r="E158" s="766"/>
      <c r="F158" s="766"/>
      <c r="G158" s="766"/>
      <c r="H158" s="766"/>
      <c r="I158" s="766"/>
      <c r="J158" s="766"/>
      <c r="K158" s="766"/>
      <c r="L158" s="766"/>
      <c r="M158" s="766"/>
      <c r="N158" s="766"/>
      <c r="O158" s="767"/>
    </row>
    <row r="159" spans="1:58" ht="45.95" customHeight="1" x14ac:dyDescent="0.2">
      <c r="B159" s="947" t="str">
        <f>O57</f>
        <v>V-002</v>
      </c>
      <c r="C159" s="712" t="str">
        <f>D56</f>
        <v>Lufft Opus 20</v>
      </c>
      <c r="D159" s="948" t="str">
        <f>E56</f>
        <v>0,23.0714.0802.024 C-I V-002</v>
      </c>
      <c r="E159" s="949" t="str">
        <f>S57</f>
        <v>2020-07-07 / 2020-7-08 / 2020-05-29</v>
      </c>
      <c r="F159" s="712" t="str">
        <f>T57</f>
        <v>INM  4629 - INM 4630 - INM 4626</v>
      </c>
      <c r="G159" s="712">
        <f>P58</f>
        <v>0.3</v>
      </c>
      <c r="H159" s="712">
        <f>Q58</f>
        <v>1.7</v>
      </c>
      <c r="I159" s="939">
        <f>R58</f>
        <v>9.6000000000000002E-2</v>
      </c>
      <c r="J159" s="950">
        <f>SLOPE(H56:H58,F56:F58)</f>
        <v>-6.0695118834653726E-3</v>
      </c>
      <c r="K159" s="940">
        <f>INTERCEPT(H56:H58,F56:F58)</f>
        <v>0.10727702530028116</v>
      </c>
      <c r="L159" s="940">
        <f>SLOPE(H59:H61,F59:F61)</f>
        <v>0.1454156155702041</v>
      </c>
      <c r="M159" s="940">
        <f>INTERCEPT(H59:H61,F59:F61)</f>
        <v>-8.3663878253816613</v>
      </c>
      <c r="N159" s="940">
        <f>SLOPE(H62:H64,F62:F64)</f>
        <v>-3.0257969486283411E-3</v>
      </c>
      <c r="O159" s="951">
        <f>INTERCEPT(H62:H64,F62:F64)</f>
        <v>3.3404896034287122</v>
      </c>
    </row>
    <row r="160" spans="1:58" ht="45.95" customHeight="1" x14ac:dyDescent="0.2">
      <c r="B160" s="952" t="str">
        <f>O89</f>
        <v>M-010</v>
      </c>
      <c r="C160" s="721" t="str">
        <f>D89</f>
        <v>Lufft Opus 20</v>
      </c>
      <c r="D160" s="953" t="str">
        <f>E89</f>
        <v>0,26.0714.0802.024 C-I M-010</v>
      </c>
      <c r="E160" s="954" t="str">
        <f>S89</f>
        <v>2020-06-18 2020-06-19- 2020-05-29</v>
      </c>
      <c r="F160" s="721" t="str">
        <f>T89</f>
        <v>INM 4608 - INM 4609 -   INM 4623</v>
      </c>
      <c r="G160" s="955">
        <f>P90</f>
        <v>0.3</v>
      </c>
      <c r="H160" s="955">
        <f>Q90</f>
        <v>1.7</v>
      </c>
      <c r="I160" s="719">
        <f>R90</f>
        <v>9.5000000000000001E-2</v>
      </c>
      <c r="J160" s="956">
        <f>SLOPE(H89:H91,F89:F91)</f>
        <v>-5.9336401065633333E-3</v>
      </c>
      <c r="K160" s="956">
        <f>INTERCEPT(H89:H91,F89:F91)</f>
        <v>0.10472269314604021</v>
      </c>
      <c r="L160" s="956">
        <f>SLOPE(H92:H94,F92:F94)</f>
        <v>0.12190340402780254</v>
      </c>
      <c r="M160" s="956">
        <f>INTERCEPT(H92:H94,F92:F94)</f>
        <v>-7.1705934770985564</v>
      </c>
      <c r="N160" s="956">
        <f>SLOPE(H95:H97,F95:F97)</f>
        <v>-2.9793088058430585E-3</v>
      </c>
      <c r="O160" s="957">
        <f>INTERCEPT(H95:H97,F95:F97)</f>
        <v>3.2186533084545825</v>
      </c>
    </row>
    <row r="161" spans="2:15" ht="45.95" customHeight="1" x14ac:dyDescent="0.2">
      <c r="B161" s="952" t="str">
        <f>O100</f>
        <v>M-011</v>
      </c>
      <c r="C161" s="721" t="str">
        <f>D100</f>
        <v>Lufft Opus 20</v>
      </c>
      <c r="D161" s="953" t="str">
        <f>E100</f>
        <v>0,22.0714.0802.024</v>
      </c>
      <c r="E161" s="954" t="str">
        <f>S100</f>
        <v>2020-07-07 / 2020-07-08 / 2020-05-29</v>
      </c>
      <c r="F161" s="721" t="str">
        <f>T100</f>
        <v>INM-4627-INM 4628-INM 4624</v>
      </c>
      <c r="G161" s="719">
        <f>P101</f>
        <v>0.3</v>
      </c>
      <c r="H161" s="719">
        <f>Q101</f>
        <v>1.7</v>
      </c>
      <c r="I161" s="719">
        <f>R101</f>
        <v>9.9000000000000005E-2</v>
      </c>
      <c r="J161" s="956">
        <f>SLOPE(H100:H102,F100:F102)</f>
        <v>-3.3780112298496645E-2</v>
      </c>
      <c r="K161" s="956">
        <f>INTERCEPT(H100:H102,F100:F102)</f>
        <v>0.71703193865845549</v>
      </c>
      <c r="L161" s="956">
        <f>SLOPE(H103:H105,F103:F105)</f>
        <v>0.130081899205096</v>
      </c>
      <c r="M161" s="956">
        <f>INTERCEPT(H103:H105,F103:F105)</f>
        <v>-7.7664280170221902</v>
      </c>
      <c r="N161" s="956">
        <f>SLOPE(H106:H108,F106:F108)</f>
        <v>-3.3007100073608104E-3</v>
      </c>
      <c r="O161" s="957">
        <f>INTERCEPT(H106:H108,F106:F108)</f>
        <v>3.4572785816199776</v>
      </c>
    </row>
    <row r="162" spans="2:15" ht="45.95" customHeight="1" x14ac:dyDescent="0.2">
      <c r="B162" s="952" t="str">
        <f>O67</f>
        <v xml:space="preserve">M-012  </v>
      </c>
      <c r="C162" s="721" t="str">
        <f>D67</f>
        <v>Lufft Opus 20</v>
      </c>
      <c r="D162" s="953" t="str">
        <f>E67</f>
        <v>19506160802033 C-I M-012</v>
      </c>
      <c r="E162" s="954" t="str">
        <f>S67</f>
        <v>2020-06-18 / 2020-06-19/ 2020-05-29</v>
      </c>
      <c r="F162" s="721" t="str">
        <f>T67</f>
        <v>INM-4610, INM 4611 - INM 4625</v>
      </c>
      <c r="G162" s="719">
        <f>P68</f>
        <v>0.3</v>
      </c>
      <c r="H162" s="719">
        <f>Q68</f>
        <v>1.7</v>
      </c>
      <c r="I162" s="719">
        <f>R68</f>
        <v>0.15</v>
      </c>
      <c r="J162" s="956">
        <f>SLOPE(H67:H69,F67:F69)</f>
        <v>2.3901310717039322E-2</v>
      </c>
      <c r="K162" s="956">
        <f>INTERCEPT(H67:H69,F67:F69)</f>
        <v>-0.41878694423027496</v>
      </c>
      <c r="L162" s="956">
        <f>SLOPE(H70:H72,F70:F72)</f>
        <v>0.14518834517177825</v>
      </c>
      <c r="M162" s="956">
        <f>INTERCEPT(H70:H72,F70:F72)</f>
        <v>-7.2471301262537358</v>
      </c>
      <c r="N162" s="956">
        <f>SLOPE(H73:H75,F73:F75)</f>
        <v>-2.0169926392810842E-3</v>
      </c>
      <c r="O162" s="957">
        <f>INTERCEPT(H73:H75,F73:F75)</f>
        <v>2.8938779877398297</v>
      </c>
    </row>
    <row r="163" spans="2:15" ht="45.95" customHeight="1" thickBot="1" x14ac:dyDescent="0.25">
      <c r="B163" s="958" t="str">
        <f>O78</f>
        <v xml:space="preserve">M-013  </v>
      </c>
      <c r="C163" s="959" t="str">
        <f>D78</f>
        <v>Lufft Opus 20</v>
      </c>
      <c r="D163" s="960" t="str">
        <f>E78</f>
        <v>19406160802033 C-I M-013</v>
      </c>
      <c r="E163" s="846" t="str">
        <f>S78</f>
        <v xml:space="preserve">2019-09-24  / 2019-09-25  / 2020-10-02 </v>
      </c>
      <c r="F163" s="959" t="str">
        <f>T78</f>
        <v>INM 4216 - INM 4217 -  INM 4703</v>
      </c>
      <c r="G163" s="782">
        <f>P79</f>
        <v>0.3</v>
      </c>
      <c r="H163" s="782">
        <f>Q79</f>
        <v>1.7</v>
      </c>
      <c r="I163" s="782">
        <f>R79</f>
        <v>0.14000000000000001</v>
      </c>
      <c r="J163" s="961">
        <f>SLOPE(H78:H80,F78:F80)</f>
        <v>1.3499905595065769E-2</v>
      </c>
      <c r="K163" s="961">
        <f>INTERCEPT(H78:H80,F78:F80)</f>
        <v>-0.31364780665869468</v>
      </c>
      <c r="L163" s="961">
        <f>SLOPE(H81:H83,F81:F83)</f>
        <v>0.101903287496585</v>
      </c>
      <c r="M163" s="961">
        <f>INTERCEPT(H81:H83,F81:F83)</f>
        <v>-5.6461160185775423</v>
      </c>
      <c r="N163" s="961">
        <f>SLOPE(H84:H86,F84:F86)</f>
        <v>-2.274176216186185E-3</v>
      </c>
      <c r="O163" s="962">
        <f>INTERCEPT(H84:H86,F84:F86)</f>
        <v>3.0586916237565838</v>
      </c>
    </row>
    <row r="225" spans="74:77" ht="35.1" customHeight="1" x14ac:dyDescent="0.25">
      <c r="BV225" s="560"/>
      <c r="BW225" s="560"/>
      <c r="BX225" s="560"/>
      <c r="BY225" s="560"/>
    </row>
    <row r="226" spans="74:77" ht="35.1" customHeight="1" x14ac:dyDescent="0.25">
      <c r="BV226" s="560"/>
      <c r="BW226" s="560"/>
      <c r="BX226" s="560"/>
      <c r="BY226" s="560"/>
    </row>
    <row r="227" spans="74:77" ht="35.1" customHeight="1" x14ac:dyDescent="0.25">
      <c r="BV227" s="560"/>
      <c r="BW227" s="560"/>
      <c r="BX227" s="560"/>
      <c r="BY227" s="560"/>
    </row>
    <row r="228" spans="74:77" ht="35.1" customHeight="1" x14ac:dyDescent="0.25">
      <c r="BV228" s="560"/>
      <c r="BW228" s="560"/>
      <c r="BX228" s="560"/>
      <c r="BY228" s="560"/>
    </row>
  </sheetData>
  <sheetProtection password="CF5C" sheet="1" objects="1" scenarios="1"/>
  <dataConsolidate/>
  <mergeCells count="140">
    <mergeCell ref="E1:V1"/>
    <mergeCell ref="V30:V31"/>
    <mergeCell ref="S30:S31"/>
    <mergeCell ref="T30:T31"/>
    <mergeCell ref="Q8:U8"/>
    <mergeCell ref="S9:U9"/>
    <mergeCell ref="P7:U7"/>
    <mergeCell ref="Q9:R9"/>
    <mergeCell ref="T14:V14"/>
    <mergeCell ref="D5:N5"/>
    <mergeCell ref="B11:N12"/>
    <mergeCell ref="B28:O28"/>
    <mergeCell ref="B21:O21"/>
    <mergeCell ref="A1:D1"/>
    <mergeCell ref="Q24:W25"/>
    <mergeCell ref="L38:L42"/>
    <mergeCell ref="B29:B32"/>
    <mergeCell ref="B38:B42"/>
    <mergeCell ref="D38:D42"/>
    <mergeCell ref="S32:V32"/>
    <mergeCell ref="B35:R35"/>
    <mergeCell ref="L44:L48"/>
    <mergeCell ref="S67:S69"/>
    <mergeCell ref="J56:J58"/>
    <mergeCell ref="T54:T55"/>
    <mergeCell ref="A56:B58"/>
    <mergeCell ref="C56:C64"/>
    <mergeCell ref="D56:D64"/>
    <mergeCell ref="E56:E64"/>
    <mergeCell ref="B44:B48"/>
    <mergeCell ref="K56:K58"/>
    <mergeCell ref="L56:L58"/>
    <mergeCell ref="C53:T53"/>
    <mergeCell ref="O54:O55"/>
    <mergeCell ref="P54:R55"/>
    <mergeCell ref="S54:S55"/>
    <mergeCell ref="D44:D48"/>
    <mergeCell ref="C51:T52"/>
    <mergeCell ref="J59:J61"/>
    <mergeCell ref="B146:B152"/>
    <mergeCell ref="B138:B144"/>
    <mergeCell ref="B135:L135"/>
    <mergeCell ref="B129:L129"/>
    <mergeCell ref="D138:D144"/>
    <mergeCell ref="K70:K72"/>
    <mergeCell ref="A89:B91"/>
    <mergeCell ref="L73:L75"/>
    <mergeCell ref="L84:L86"/>
    <mergeCell ref="J84:J86"/>
    <mergeCell ref="A95:B97"/>
    <mergeCell ref="A81:B83"/>
    <mergeCell ref="J81:J83"/>
    <mergeCell ref="L70:L72"/>
    <mergeCell ref="A92:B94"/>
    <mergeCell ref="A70:B72"/>
    <mergeCell ref="A84:B86"/>
    <mergeCell ref="D89:D97"/>
    <mergeCell ref="L78:L80"/>
    <mergeCell ref="E100:E108"/>
    <mergeCell ref="J89:J91"/>
    <mergeCell ref="L92:L94"/>
    <mergeCell ref="D146:D152"/>
    <mergeCell ref="B119:AA119"/>
    <mergeCell ref="A78:B80"/>
    <mergeCell ref="K81:K83"/>
    <mergeCell ref="E89:E97"/>
    <mergeCell ref="J92:J94"/>
    <mergeCell ref="J73:J75"/>
    <mergeCell ref="K73:K75"/>
    <mergeCell ref="L81:L83"/>
    <mergeCell ref="O89:O91"/>
    <mergeCell ref="O57:O59"/>
    <mergeCell ref="O67:O69"/>
    <mergeCell ref="O78:O80"/>
    <mergeCell ref="A62:B64"/>
    <mergeCell ref="A59:B61"/>
    <mergeCell ref="A67:B69"/>
    <mergeCell ref="C67:C75"/>
    <mergeCell ref="D67:D75"/>
    <mergeCell ref="E67:E75"/>
    <mergeCell ref="J67:J69"/>
    <mergeCell ref="A73:B75"/>
    <mergeCell ref="J70:J72"/>
    <mergeCell ref="O152:Q152"/>
    <mergeCell ref="K59:K61"/>
    <mergeCell ref="K62:K64"/>
    <mergeCell ref="J62:J64"/>
    <mergeCell ref="L62:L64"/>
    <mergeCell ref="T57:T59"/>
    <mergeCell ref="L59:L61"/>
    <mergeCell ref="S100:S102"/>
    <mergeCell ref="C78:C86"/>
    <mergeCell ref="D78:D86"/>
    <mergeCell ref="E78:E86"/>
    <mergeCell ref="J78:J80"/>
    <mergeCell ref="J95:J97"/>
    <mergeCell ref="S57:S59"/>
    <mergeCell ref="C89:C97"/>
    <mergeCell ref="B120:B127"/>
    <mergeCell ref="B111:B117"/>
    <mergeCell ref="A103:B105"/>
    <mergeCell ref="J103:J105"/>
    <mergeCell ref="K103:K105"/>
    <mergeCell ref="L103:L105"/>
    <mergeCell ref="B110:W110"/>
    <mergeCell ref="B130:B132"/>
    <mergeCell ref="O128:Q128"/>
    <mergeCell ref="D100:D108"/>
    <mergeCell ref="A106:B108"/>
    <mergeCell ref="J106:J108"/>
    <mergeCell ref="K106:K108"/>
    <mergeCell ref="L106:L108"/>
    <mergeCell ref="K100:K102"/>
    <mergeCell ref="J100:J102"/>
    <mergeCell ref="T100:T102"/>
    <mergeCell ref="A100:B102"/>
    <mergeCell ref="O100:O102"/>
    <mergeCell ref="C100:C108"/>
    <mergeCell ref="L100:L102"/>
    <mergeCell ref="AH111:AI111"/>
    <mergeCell ref="O134:Q134"/>
    <mergeCell ref="O140:Q140"/>
    <mergeCell ref="O146:Q146"/>
    <mergeCell ref="AC111:AF111"/>
    <mergeCell ref="AC112:AF112"/>
    <mergeCell ref="K95:K97"/>
    <mergeCell ref="L95:L97"/>
    <mergeCell ref="T67:T69"/>
    <mergeCell ref="K78:K80"/>
    <mergeCell ref="K67:K69"/>
    <mergeCell ref="L67:L69"/>
    <mergeCell ref="T89:T91"/>
    <mergeCell ref="K89:K91"/>
    <mergeCell ref="L89:L91"/>
    <mergeCell ref="K92:K94"/>
    <mergeCell ref="K84:K86"/>
    <mergeCell ref="S78:S80"/>
    <mergeCell ref="T78:T80"/>
    <mergeCell ref="S89:S91"/>
    <mergeCell ref="N120:O120"/>
  </mergeCells>
  <dataValidations count="2">
    <dataValidation type="list" allowBlank="1" showInputMessage="1" showErrorMessage="1" sqref="H14" xr:uid="{00000000-0002-0000-0000-000000000000}">
      <formula1>$AC$114:$AC$119</formula1>
    </dataValidation>
    <dataValidation type="list" allowBlank="1" showInputMessage="1" showErrorMessage="1" sqref="J14" xr:uid="{00000000-0002-0000-0000-000001000000}">
      <formula1>$AH$115:$AH$117</formula1>
    </dataValidation>
  </dataValidations>
  <pageMargins left="0.70866141732283472" right="0.70866141732283472" top="0.74803149606299213" bottom="0.74803149606299213" header="0.31496062992125984" footer="0.31496062992125984"/>
  <pageSetup scale="10" pageOrder="overThenDown" orientation="portrait" horizontalDpi="4294967293" r:id="rId1"/>
  <headerFooter>
    <oddFooter>&amp;RRT03-F11 Vr.11 (2021-05-10)</oddFooter>
  </headerFooter>
  <rowBreaks count="2" manualBreakCount="2">
    <brk id="50" max="34" man="1"/>
    <brk id="108" max="34" man="1"/>
  </rowBreaks>
  <ignoredErrors>
    <ignoredError sqref="P58:Q58 P68:R68 P79:R79 P90:R90 P101:R101 J159:J163 K159:K163 L159:L163 M159:M163 N159:N163" formulaRange="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66CC"/>
  </sheetPr>
  <dimension ref="A1:Y106"/>
  <sheetViews>
    <sheetView showGridLines="0" view="pageBreakPreview" zoomScale="80" zoomScaleNormal="100" zoomScaleSheetLayoutView="80" workbookViewId="0">
      <selection activeCell="G32" sqref="G32"/>
    </sheetView>
  </sheetViews>
  <sheetFormatPr baseColWidth="10" defaultColWidth="11.42578125" defaultRowHeight="15.75" x14ac:dyDescent="0.25"/>
  <cols>
    <col min="1" max="1" width="5.7109375" style="1061" customWidth="1"/>
    <col min="2" max="2" width="11.42578125" style="1061" customWidth="1"/>
    <col min="3" max="3" width="13.7109375" style="1061" customWidth="1"/>
    <col min="4" max="4" width="15.5703125" style="1061" customWidth="1"/>
    <col min="5" max="5" width="17" style="1061" customWidth="1"/>
    <col min="6" max="6" width="17.42578125" style="1061" customWidth="1"/>
    <col min="7" max="7" width="15.7109375" style="1061" customWidth="1"/>
    <col min="8" max="8" width="16.140625" style="1061" customWidth="1"/>
    <col min="9" max="9" width="18" style="1061" customWidth="1"/>
    <col min="10" max="10" width="13" style="1061" customWidth="1"/>
    <col min="11" max="11" width="15.7109375" style="1061" customWidth="1"/>
    <col min="12" max="12" width="8.28515625" style="1061" customWidth="1"/>
    <col min="13" max="13" width="10.140625" style="1061" customWidth="1"/>
    <col min="14" max="14" width="8" style="1061" customWidth="1"/>
    <col min="15" max="15" width="13.85546875" style="1061" customWidth="1"/>
    <col min="16" max="16" width="0.5703125" style="1061" customWidth="1"/>
    <col min="17" max="17" width="1.7109375" style="1061" customWidth="1"/>
    <col min="18" max="16384" width="11.42578125" style="1061"/>
  </cols>
  <sheetData>
    <row r="1" spans="1:11" ht="125.1" customHeight="1" x14ac:dyDescent="0.25">
      <c r="A1" s="2040"/>
      <c r="B1" s="2040"/>
      <c r="C1" s="2040"/>
      <c r="D1" s="2040"/>
      <c r="E1" s="2040"/>
      <c r="F1" s="2040"/>
      <c r="G1" s="2040"/>
      <c r="H1" s="2040"/>
      <c r="I1" s="2040"/>
      <c r="J1" s="2040"/>
      <c r="K1" s="2040"/>
    </row>
    <row r="2" spans="1:11" ht="35.1" customHeight="1" x14ac:dyDescent="0.25">
      <c r="A2" s="1219"/>
      <c r="B2" s="1219"/>
      <c r="C2" s="1219"/>
      <c r="D2" s="1219"/>
      <c r="E2" s="1219"/>
      <c r="F2" s="1219"/>
      <c r="G2" s="1219"/>
      <c r="H2" s="1219"/>
      <c r="I2" s="1219"/>
      <c r="J2" s="1219"/>
      <c r="K2" s="1219"/>
    </row>
    <row r="3" spans="1:11" ht="35.1" customHeight="1" x14ac:dyDescent="0.25">
      <c r="A3" s="1219"/>
      <c r="B3" s="1219"/>
      <c r="C3" s="1219"/>
      <c r="D3" s="1219"/>
      <c r="E3" s="1219"/>
      <c r="F3" s="1219"/>
      <c r="G3" s="1219"/>
      <c r="H3" s="1062"/>
      <c r="I3" s="1225" t="s">
        <v>623</v>
      </c>
      <c r="J3" s="2018">
        <f>'DATOS %'!N15</f>
        <v>0</v>
      </c>
      <c r="K3" s="2018"/>
    </row>
    <row r="4" spans="1:11" ht="26.1" customHeight="1" x14ac:dyDescent="0.25">
      <c r="A4" s="2025" t="s">
        <v>42</v>
      </c>
      <c r="B4" s="2025"/>
      <c r="C4" s="2025"/>
      <c r="D4" s="2025"/>
      <c r="E4" s="1064"/>
      <c r="F4" s="1065"/>
    </row>
    <row r="5" spans="1:11" ht="18" customHeight="1" x14ac:dyDescent="0.25">
      <c r="A5" s="1066"/>
      <c r="B5" s="1066"/>
      <c r="C5" s="1066"/>
      <c r="D5" s="1065"/>
      <c r="E5" s="1065"/>
      <c r="F5" s="1065"/>
    </row>
    <row r="6" spans="1:11" ht="26.1" customHeight="1" x14ac:dyDescent="0.25">
      <c r="A6" s="1965" t="s">
        <v>408</v>
      </c>
      <c r="B6" s="1965"/>
      <c r="C6" s="1220"/>
      <c r="D6" s="2037">
        <f>'DATOS %'!K8</f>
        <v>0</v>
      </c>
      <c r="E6" s="2037"/>
      <c r="F6" s="2037"/>
      <c r="G6" s="2037"/>
      <c r="H6" s="2037"/>
      <c r="I6" s="2037"/>
      <c r="J6" s="2037"/>
      <c r="K6" s="2037"/>
    </row>
    <row r="7" spans="1:11" ht="26.1" customHeight="1" x14ac:dyDescent="0.25">
      <c r="A7" s="2036" t="s">
        <v>409</v>
      </c>
      <c r="B7" s="2036"/>
      <c r="C7" s="1217"/>
      <c r="D7" s="2037">
        <f>'DATOS %'!L8</f>
        <v>0</v>
      </c>
      <c r="E7" s="2037"/>
      <c r="F7" s="2037"/>
      <c r="G7" s="2037"/>
      <c r="H7" s="2037"/>
      <c r="I7" s="2037"/>
      <c r="J7" s="2037"/>
      <c r="K7" s="2037"/>
    </row>
    <row r="8" spans="1:11" ht="26.1" customHeight="1" x14ac:dyDescent="0.25">
      <c r="A8" s="2036" t="s">
        <v>432</v>
      </c>
      <c r="B8" s="2036"/>
      <c r="C8" s="1217"/>
      <c r="D8" s="2037">
        <f>'DATOS %'!M8</f>
        <v>0</v>
      </c>
      <c r="E8" s="2037"/>
      <c r="F8" s="2037"/>
      <c r="G8" s="2037"/>
      <c r="H8" s="2037"/>
      <c r="I8" s="2037"/>
      <c r="J8" s="2037"/>
      <c r="K8" s="2037"/>
    </row>
    <row r="9" spans="1:11" ht="26.1" customHeight="1" x14ac:dyDescent="0.25">
      <c r="A9" s="1221"/>
      <c r="B9" s="1221"/>
      <c r="C9" s="1066"/>
      <c r="D9" s="1065"/>
      <c r="E9" s="1065"/>
      <c r="F9" s="1065"/>
      <c r="G9" s="1065"/>
    </row>
    <row r="10" spans="1:11" ht="26.1" customHeight="1" x14ac:dyDescent="0.25">
      <c r="A10" s="1965" t="s">
        <v>410</v>
      </c>
      <c r="B10" s="1965"/>
      <c r="C10" s="1965"/>
      <c r="D10" s="1965"/>
      <c r="E10" s="2038" t="e">
        <f>'RT03-F11 %'!D3</f>
        <v>#N/A</v>
      </c>
      <c r="F10" s="2038"/>
      <c r="H10" s="2039" t="s">
        <v>411</v>
      </c>
      <c r="I10" s="2039"/>
      <c r="J10" s="2038">
        <f>'DATOS %'!I8</f>
        <v>0</v>
      </c>
      <c r="K10" s="2038"/>
    </row>
    <row r="11" spans="1:11" ht="26.1" customHeight="1" x14ac:dyDescent="0.25">
      <c r="A11" s="2032"/>
      <c r="B11" s="2032"/>
      <c r="C11" s="1067"/>
      <c r="D11" s="2032"/>
      <c r="E11" s="2032"/>
      <c r="F11" s="2032"/>
      <c r="I11" s="1068"/>
      <c r="J11" s="1068"/>
      <c r="K11" s="1068"/>
    </row>
    <row r="12" spans="1:11" ht="26.1" customHeight="1" x14ac:dyDescent="0.25">
      <c r="A12" s="2025" t="s">
        <v>45</v>
      </c>
      <c r="B12" s="2025"/>
      <c r="C12" s="2025"/>
      <c r="D12" s="2025"/>
      <c r="E12" s="2025"/>
      <c r="F12" s="2025"/>
      <c r="G12" s="2025"/>
      <c r="H12" s="2025"/>
      <c r="I12" s="2025"/>
      <c r="J12" s="2025"/>
      <c r="K12" s="1068"/>
    </row>
    <row r="13" spans="1:11" ht="18" customHeight="1" x14ac:dyDescent="0.25">
      <c r="A13" s="1220"/>
      <c r="B13" s="1220"/>
      <c r="C13" s="1220"/>
      <c r="D13" s="1220"/>
      <c r="E13" s="1220"/>
      <c r="F13" s="1069"/>
      <c r="G13" s="1070"/>
      <c r="H13" s="1070"/>
      <c r="I13" s="1071"/>
      <c r="J13" s="1071"/>
      <c r="K13" s="1068"/>
    </row>
    <row r="14" spans="1:11" ht="26.1" customHeight="1" x14ac:dyDescent="0.25">
      <c r="A14" s="1965" t="s">
        <v>24</v>
      </c>
      <c r="B14" s="1965"/>
      <c r="C14" s="1965"/>
      <c r="D14" s="1965"/>
      <c r="E14" s="2047" t="s">
        <v>404</v>
      </c>
      <c r="F14" s="2047"/>
      <c r="G14" s="2047"/>
      <c r="H14" s="2047"/>
      <c r="I14" s="1071"/>
      <c r="J14" s="1071"/>
      <c r="K14" s="1068"/>
    </row>
    <row r="15" spans="1:11" ht="26.1" customHeight="1" x14ac:dyDescent="0.25">
      <c r="A15" s="1965" t="s">
        <v>342</v>
      </c>
      <c r="B15" s="1965"/>
      <c r="C15" s="1965"/>
      <c r="D15" s="1965"/>
      <c r="E15" s="2048">
        <f>'DATOS %'!C15</f>
        <v>0</v>
      </c>
      <c r="F15" s="2048"/>
      <c r="G15" s="2048"/>
      <c r="H15" s="2048"/>
      <c r="I15" s="1218"/>
      <c r="J15" s="1071"/>
      <c r="K15" s="1068"/>
    </row>
    <row r="16" spans="1:11" ht="26.1" customHeight="1" x14ac:dyDescent="0.25">
      <c r="A16" s="1965" t="s">
        <v>341</v>
      </c>
      <c r="B16" s="1965"/>
      <c r="C16" s="1965"/>
      <c r="D16" s="1965"/>
      <c r="E16" s="2048">
        <f>'DATOS %'!E15</f>
        <v>0</v>
      </c>
      <c r="F16" s="2048"/>
      <c r="G16" s="2048"/>
      <c r="H16" s="2048"/>
      <c r="I16" s="1218"/>
      <c r="J16" s="1071"/>
      <c r="K16" s="1068"/>
    </row>
    <row r="17" spans="1:25" ht="26.1" customHeight="1" x14ac:dyDescent="0.25">
      <c r="A17" s="2028" t="s">
        <v>314</v>
      </c>
      <c r="B17" s="2028"/>
      <c r="C17" s="2028"/>
      <c r="D17" s="2028"/>
      <c r="E17" s="2049">
        <f>'DATOS %'!D15</f>
        <v>0</v>
      </c>
      <c r="F17" s="2049"/>
      <c r="G17" s="2049"/>
      <c r="H17" s="2049"/>
      <c r="I17" s="1218"/>
      <c r="J17" s="1071"/>
      <c r="K17" s="1068"/>
    </row>
    <row r="18" spans="1:25" ht="26.1" customHeight="1" x14ac:dyDescent="0.25">
      <c r="A18" s="2028" t="s">
        <v>33</v>
      </c>
      <c r="B18" s="2028"/>
      <c r="C18" s="2028"/>
      <c r="D18" s="2028"/>
      <c r="E18" s="2047" t="s">
        <v>389</v>
      </c>
      <c r="F18" s="2047"/>
      <c r="G18" s="2047"/>
      <c r="H18" s="2047"/>
      <c r="I18" s="1218"/>
      <c r="J18" s="1071"/>
      <c r="K18" s="1068"/>
    </row>
    <row r="19" spans="1:25" ht="26.1" customHeight="1" x14ac:dyDescent="0.25">
      <c r="A19" s="2028" t="s">
        <v>343</v>
      </c>
      <c r="B19" s="2028"/>
      <c r="C19" s="2028"/>
      <c r="D19" s="2028"/>
      <c r="E19" s="2047" t="s">
        <v>328</v>
      </c>
      <c r="F19" s="2047"/>
      <c r="G19" s="2047"/>
      <c r="H19" s="2047"/>
      <c r="I19" s="1218"/>
      <c r="J19" s="1070"/>
    </row>
    <row r="20" spans="1:25" ht="26.1" customHeight="1" x14ac:dyDescent="0.25">
      <c r="A20" s="2028" t="s">
        <v>344</v>
      </c>
      <c r="B20" s="2028"/>
      <c r="C20" s="2028"/>
      <c r="D20" s="2028"/>
      <c r="E20" s="2047" t="s">
        <v>328</v>
      </c>
      <c r="F20" s="2047"/>
      <c r="G20" s="2047"/>
      <c r="H20" s="2047"/>
      <c r="I20" s="1218"/>
      <c r="J20" s="1070"/>
    </row>
    <row r="21" spans="1:25" ht="26.1" customHeight="1" x14ac:dyDescent="0.25">
      <c r="A21" s="2028" t="s">
        <v>340</v>
      </c>
      <c r="B21" s="2028"/>
      <c r="C21" s="2028"/>
      <c r="D21" s="2028"/>
      <c r="E21" s="1377" t="str">
        <f>'DATOS %'!G15</f>
        <v>5 gal</v>
      </c>
      <c r="F21" s="1388"/>
      <c r="G21" s="1388"/>
      <c r="H21" s="1388"/>
      <c r="I21" s="1218"/>
      <c r="J21" s="1070"/>
      <c r="S21" s="2032"/>
      <c r="T21" s="2032"/>
      <c r="U21" s="2032"/>
      <c r="V21" s="2032"/>
      <c r="W21" s="2032"/>
    </row>
    <row r="22" spans="1:25" ht="26.1" customHeight="1" x14ac:dyDescent="0.25">
      <c r="A22" s="2028" t="s">
        <v>230</v>
      </c>
      <c r="B22" s="2028"/>
      <c r="C22" s="2028"/>
      <c r="D22" s="2028"/>
      <c r="E22" s="1379">
        <f>'DATOS %'!H14</f>
        <v>0</v>
      </c>
      <c r="F22" s="1380" t="e">
        <f>'DATOS %'!H15</f>
        <v>#N/A</v>
      </c>
      <c r="G22" s="1389"/>
      <c r="H22" s="1389"/>
      <c r="I22" s="1218"/>
      <c r="J22" s="1070"/>
      <c r="M22" s="1074"/>
      <c r="N22" s="1074"/>
      <c r="O22" s="1074"/>
      <c r="P22" s="1074"/>
      <c r="Q22" s="1074"/>
      <c r="R22" s="1074"/>
      <c r="S22" s="1074"/>
      <c r="T22" s="1074"/>
      <c r="U22" s="1074"/>
      <c r="V22" s="1074"/>
    </row>
    <row r="23" spans="1:25" ht="26.1" customHeight="1" x14ac:dyDescent="0.25">
      <c r="A23" s="2028" t="s">
        <v>313</v>
      </c>
      <c r="B23" s="2028"/>
      <c r="C23" s="2028"/>
      <c r="D23" s="2028"/>
      <c r="E23" s="2047" t="s">
        <v>345</v>
      </c>
      <c r="F23" s="2047"/>
      <c r="G23" s="2047"/>
      <c r="H23" s="2047"/>
      <c r="I23" s="1218"/>
      <c r="J23" s="1075"/>
      <c r="S23" s="2030"/>
      <c r="T23" s="2031"/>
      <c r="U23" s="2031"/>
      <c r="W23" s="2032"/>
      <c r="X23" s="2032"/>
      <c r="Y23" s="2032"/>
    </row>
    <row r="24" spans="1:25" ht="26.1" customHeight="1" x14ac:dyDescent="0.25">
      <c r="A24" s="2032"/>
      <c r="B24" s="2032"/>
      <c r="C24" s="2032"/>
      <c r="D24" s="2032"/>
      <c r="E24" s="2033"/>
      <c r="F24" s="2033"/>
      <c r="G24" s="2033"/>
      <c r="H24" s="2033"/>
      <c r="I24" s="1222"/>
    </row>
    <row r="25" spans="1:25" ht="23.1" customHeight="1" x14ac:dyDescent="0.25">
      <c r="A25" s="2025" t="s">
        <v>146</v>
      </c>
      <c r="B25" s="2025"/>
      <c r="C25" s="2025"/>
      <c r="D25" s="2025"/>
      <c r="E25" s="2025"/>
      <c r="F25" s="2025"/>
      <c r="G25" s="2025"/>
      <c r="H25" s="2025"/>
      <c r="I25" s="2025"/>
      <c r="J25" s="2025"/>
      <c r="K25" s="2025"/>
    </row>
    <row r="26" spans="1:25" ht="18" customHeight="1" x14ac:dyDescent="0.25">
      <c r="A26" s="1070"/>
      <c r="B26" s="1070"/>
      <c r="C26" s="1070"/>
      <c r="D26" s="1070"/>
      <c r="E26" s="1070"/>
      <c r="F26" s="1070"/>
      <c r="G26" s="1070"/>
      <c r="H26" s="1070"/>
      <c r="I26" s="1070"/>
      <c r="J26" s="1070"/>
      <c r="K26" s="1070"/>
    </row>
    <row r="27" spans="1:25" ht="23.1" customHeight="1" x14ac:dyDescent="0.25">
      <c r="A27" s="2026" t="str">
        <f>'DATOS %'!G8</f>
        <v>Laboratorio de calibración de masa y volumen, avenida carrera  50 # 26-55 Int 2,  piso 5.</v>
      </c>
      <c r="B27" s="2026"/>
      <c r="C27" s="2026"/>
      <c r="D27" s="2026"/>
      <c r="E27" s="2026"/>
      <c r="F27" s="2026"/>
      <c r="G27" s="2026"/>
      <c r="H27" s="2026"/>
      <c r="I27" s="2026"/>
      <c r="J27" s="2026"/>
      <c r="K27" s="2026"/>
    </row>
    <row r="28" spans="1:25" ht="26.1" customHeight="1" x14ac:dyDescent="0.25">
      <c r="A28" s="2027"/>
      <c r="B28" s="2027"/>
      <c r="C28" s="2027"/>
      <c r="D28" s="2027"/>
      <c r="E28" s="2027"/>
      <c r="F28" s="2027"/>
      <c r="G28" s="2027"/>
      <c r="H28" s="2027"/>
      <c r="I28" s="2027"/>
      <c r="J28" s="2027"/>
      <c r="K28" s="2027"/>
    </row>
    <row r="29" spans="1:25" ht="23.1" customHeight="1" x14ac:dyDescent="0.25">
      <c r="A29" s="2025" t="s">
        <v>304</v>
      </c>
      <c r="B29" s="2025"/>
      <c r="C29" s="2025"/>
      <c r="D29" s="2025"/>
      <c r="E29" s="2027">
        <f>'DATOS %'!J8</f>
        <v>0</v>
      </c>
      <c r="F29" s="2027"/>
      <c r="G29" s="1073"/>
      <c r="H29" s="1070"/>
      <c r="I29" s="1070"/>
      <c r="J29" s="1070"/>
      <c r="K29" s="1070"/>
    </row>
    <row r="30" spans="1:25" ht="26.1" customHeight="1" x14ac:dyDescent="0.25">
      <c r="A30" s="1070"/>
      <c r="B30" s="1070"/>
      <c r="C30" s="1070"/>
      <c r="D30" s="1070"/>
      <c r="E30" s="1070"/>
      <c r="F30" s="1072"/>
      <c r="G30" s="1072"/>
      <c r="H30" s="1070"/>
      <c r="I30" s="1070"/>
      <c r="J30" s="1070"/>
      <c r="K30" s="1070"/>
    </row>
    <row r="31" spans="1:25" ht="23.1" customHeight="1" x14ac:dyDescent="0.25">
      <c r="A31" s="1996" t="s">
        <v>624</v>
      </c>
      <c r="B31" s="1996"/>
      <c r="C31" s="1996"/>
      <c r="D31" s="1996"/>
      <c r="E31" s="1996"/>
      <c r="F31" s="1996"/>
      <c r="G31" s="1996"/>
      <c r="H31" s="1996"/>
      <c r="I31" s="1226"/>
      <c r="J31" s="1076"/>
      <c r="K31" s="1070"/>
    </row>
    <row r="32" spans="1:25" ht="18" customHeight="1" x14ac:dyDescent="0.25">
      <c r="A32" s="1218"/>
      <c r="B32" s="1218"/>
      <c r="C32" s="1218"/>
      <c r="D32" s="1218"/>
      <c r="E32" s="1218"/>
      <c r="F32" s="1218"/>
      <c r="G32" s="1218"/>
      <c r="H32" s="1218"/>
      <c r="I32" s="1218"/>
      <c r="J32" s="1070"/>
      <c r="K32" s="1070"/>
    </row>
    <row r="33" spans="1:11" ht="20.100000000000001" customHeight="1" x14ac:dyDescent="0.25">
      <c r="A33" s="2046"/>
      <c r="B33" s="2046"/>
      <c r="C33" s="2046"/>
      <c r="D33" s="2046"/>
      <c r="E33" s="2046"/>
      <c r="F33" s="2046"/>
      <c r="G33" s="2046"/>
      <c r="H33" s="2046"/>
      <c r="I33" s="2046"/>
      <c r="J33" s="2046"/>
      <c r="K33" s="2046"/>
    </row>
    <row r="34" spans="1:11" ht="20.100000000000001" customHeight="1" x14ac:dyDescent="0.25">
      <c r="A34" s="2046"/>
      <c r="B34" s="2046"/>
      <c r="C34" s="2046"/>
      <c r="D34" s="2046"/>
      <c r="E34" s="2046"/>
      <c r="F34" s="2046"/>
      <c r="G34" s="2046"/>
      <c r="H34" s="2046"/>
      <c r="I34" s="2046"/>
      <c r="J34" s="2046"/>
      <c r="K34" s="2046"/>
    </row>
    <row r="35" spans="1:11" ht="18" customHeight="1" x14ac:dyDescent="0.25">
      <c r="A35" s="1077"/>
      <c r="B35" s="1077"/>
      <c r="C35" s="1077"/>
      <c r="D35" s="1077"/>
      <c r="E35" s="1077"/>
      <c r="F35" s="1077"/>
      <c r="G35" s="1077"/>
      <c r="H35" s="1077"/>
      <c r="I35" s="1077"/>
      <c r="J35" s="1077"/>
      <c r="K35" s="1077"/>
    </row>
    <row r="36" spans="1:11" ht="125.1" customHeight="1" x14ac:dyDescent="0.25">
      <c r="A36" s="1077"/>
      <c r="B36" s="1077"/>
      <c r="C36" s="1077"/>
      <c r="D36" s="1077"/>
      <c r="E36" s="1077"/>
      <c r="F36" s="1077"/>
      <c r="G36" s="1077"/>
      <c r="H36" s="1077"/>
      <c r="I36" s="1077"/>
      <c r="J36" s="1077"/>
      <c r="K36" s="1077"/>
    </row>
    <row r="37" spans="1:11" ht="35.1" customHeight="1" x14ac:dyDescent="0.25">
      <c r="A37" s="1077"/>
      <c r="B37" s="1077"/>
      <c r="C37" s="1077"/>
      <c r="D37" s="1077"/>
      <c r="E37" s="1077"/>
      <c r="F37" s="1077"/>
      <c r="G37" s="1077"/>
      <c r="H37" s="1077"/>
      <c r="I37" s="1077"/>
      <c r="J37" s="1077"/>
      <c r="K37" s="1077"/>
    </row>
    <row r="38" spans="1:11" ht="35.1" customHeight="1" x14ac:dyDescent="0.25">
      <c r="A38" s="1078"/>
      <c r="B38" s="1078"/>
      <c r="C38" s="1078"/>
      <c r="D38" s="1078"/>
      <c r="E38" s="1078"/>
      <c r="F38" s="1078"/>
      <c r="G38" s="1078"/>
      <c r="H38" s="1062"/>
      <c r="I38" s="1160" t="s">
        <v>623</v>
      </c>
      <c r="J38" s="2018">
        <f>J3</f>
        <v>0</v>
      </c>
      <c r="K38" s="2018"/>
    </row>
    <row r="39" spans="1:11" ht="24.95" customHeight="1" x14ac:dyDescent="0.25">
      <c r="A39" s="1078"/>
      <c r="B39" s="1078"/>
      <c r="C39" s="1078"/>
      <c r="D39" s="1078"/>
      <c r="E39" s="1078"/>
      <c r="F39" s="1078"/>
      <c r="G39" s="1078"/>
      <c r="H39" s="1062"/>
      <c r="I39" s="1080"/>
      <c r="J39" s="1080"/>
      <c r="K39" s="1219"/>
    </row>
    <row r="40" spans="1:11" ht="18" customHeight="1" x14ac:dyDescent="0.25">
      <c r="A40" s="1078"/>
      <c r="B40" s="1078"/>
      <c r="C40" s="1078"/>
      <c r="D40" s="1078"/>
      <c r="E40" s="1078"/>
      <c r="F40" s="1078"/>
      <c r="G40" s="1078"/>
      <c r="H40" s="1062"/>
      <c r="I40" s="1080"/>
      <c r="J40" s="1080"/>
      <c r="K40" s="1219"/>
    </row>
    <row r="41" spans="1:11" ht="18" customHeight="1" x14ac:dyDescent="0.25">
      <c r="A41" s="1078"/>
      <c r="B41" s="1078"/>
      <c r="C41" s="1078"/>
      <c r="D41" s="1078"/>
      <c r="E41" s="1078"/>
      <c r="F41" s="1078"/>
      <c r="G41" s="1078"/>
      <c r="H41" s="1062"/>
      <c r="I41" s="1080"/>
      <c r="J41" s="1080"/>
      <c r="K41" s="1219"/>
    </row>
    <row r="42" spans="1:11" ht="15.75" customHeight="1" x14ac:dyDescent="0.25">
      <c r="A42" s="1078"/>
      <c r="B42" s="1078"/>
      <c r="C42" s="1078"/>
      <c r="D42" s="1078"/>
      <c r="E42" s="1078"/>
      <c r="F42" s="1078"/>
      <c r="G42" s="1078"/>
      <c r="H42" s="1062"/>
      <c r="I42" s="1080"/>
      <c r="J42" s="1080"/>
      <c r="K42" s="1219"/>
    </row>
    <row r="43" spans="1:11" s="1083" customFormat="1" ht="23.1" customHeight="1" x14ac:dyDescent="0.2">
      <c r="A43" s="2024"/>
      <c r="B43" s="2024"/>
      <c r="C43" s="1081"/>
      <c r="D43" s="1081"/>
      <c r="E43" s="1081"/>
      <c r="F43" s="1081"/>
      <c r="G43" s="1081"/>
      <c r="H43" s="1081"/>
      <c r="I43" s="1081"/>
      <c r="J43" s="1082"/>
    </row>
    <row r="44" spans="1:11" s="1083" customFormat="1" ht="24.95" customHeight="1" x14ac:dyDescent="0.2">
      <c r="A44" s="1084"/>
      <c r="B44" s="1081"/>
      <c r="C44" s="1081"/>
      <c r="D44" s="1081"/>
      <c r="E44" s="1081"/>
      <c r="F44" s="1081"/>
      <c r="G44" s="1081"/>
      <c r="H44" s="1081"/>
      <c r="I44" s="1081"/>
      <c r="J44" s="1082"/>
    </row>
    <row r="45" spans="1:11" s="1083" customFormat="1" ht="24.95" customHeight="1" x14ac:dyDescent="0.2">
      <c r="A45" s="1081"/>
      <c r="B45" s="1085"/>
      <c r="C45" s="2020"/>
      <c r="D45" s="2020"/>
      <c r="E45" s="2020"/>
      <c r="F45" s="2020"/>
      <c r="G45" s="2020"/>
      <c r="H45" s="2020"/>
      <c r="I45" s="2020"/>
      <c r="J45" s="2020"/>
      <c r="K45" s="2020"/>
    </row>
    <row r="46" spans="1:11" s="1083" customFormat="1" ht="12.95" customHeight="1" x14ac:dyDescent="0.2">
      <c r="A46" s="1086"/>
      <c r="B46" s="1086"/>
      <c r="C46" s="1087"/>
      <c r="D46" s="1087"/>
      <c r="E46" s="1087"/>
      <c r="F46" s="1087"/>
      <c r="G46" s="1088"/>
      <c r="H46" s="1089"/>
      <c r="I46" s="1090"/>
      <c r="J46" s="1090"/>
      <c r="K46" s="1088"/>
    </row>
    <row r="47" spans="1:11" s="1083" customFormat="1" ht="15.95" customHeight="1" x14ac:dyDescent="0.2">
      <c r="A47" s="1081"/>
      <c r="B47" s="1091"/>
      <c r="C47" s="2019"/>
      <c r="D47" s="2019"/>
      <c r="E47" s="2019"/>
      <c r="F47" s="2019"/>
      <c r="G47" s="2019"/>
      <c r="H47" s="2019"/>
      <c r="I47" s="2019"/>
      <c r="J47" s="2019"/>
      <c r="K47" s="2019"/>
    </row>
    <row r="48" spans="1:11" s="1083" customFormat="1" ht="15.95" customHeight="1" x14ac:dyDescent="0.2">
      <c r="A48" s="1081"/>
      <c r="B48" s="1091"/>
      <c r="C48" s="2019"/>
      <c r="D48" s="2019"/>
      <c r="E48" s="2019"/>
      <c r="F48" s="2019"/>
      <c r="G48" s="2019"/>
      <c r="H48" s="2019"/>
      <c r="I48" s="2019"/>
      <c r="J48" s="2019"/>
      <c r="K48" s="2019"/>
    </row>
    <row r="49" spans="1:11" s="1083" customFormat="1" ht="12.95" customHeight="1" x14ac:dyDescent="0.2">
      <c r="A49" s="1081"/>
      <c r="B49" s="1091"/>
      <c r="C49" s="1223"/>
      <c r="D49" s="1223"/>
      <c r="E49" s="1223"/>
      <c r="F49" s="1223"/>
      <c r="G49" s="1223"/>
      <c r="H49" s="1223"/>
      <c r="I49" s="1223"/>
      <c r="J49" s="1223"/>
      <c r="K49" s="1223"/>
    </row>
    <row r="50" spans="1:11" s="1083" customFormat="1" ht="24.95" customHeight="1" x14ac:dyDescent="0.2">
      <c r="A50" s="1081"/>
      <c r="B50" s="1081"/>
      <c r="C50" s="2020"/>
      <c r="D50" s="2020"/>
      <c r="E50" s="2020"/>
      <c r="F50" s="2020"/>
      <c r="G50" s="2020"/>
      <c r="H50" s="2020"/>
      <c r="I50" s="2020"/>
      <c r="J50" s="2020"/>
      <c r="K50" s="2020"/>
    </row>
    <row r="51" spans="1:11" s="1083" customFormat="1" ht="12.95" customHeight="1" x14ac:dyDescent="0.2">
      <c r="A51" s="1081"/>
      <c r="B51" s="1081"/>
      <c r="C51" s="1223"/>
      <c r="D51" s="1223"/>
      <c r="E51" s="1223"/>
      <c r="F51" s="1223"/>
      <c r="G51" s="1223"/>
      <c r="H51" s="1223"/>
      <c r="I51" s="1223"/>
      <c r="J51" s="1223"/>
      <c r="K51" s="1223"/>
    </row>
    <row r="52" spans="1:11" s="1083" customFormat="1" ht="24.95" customHeight="1" x14ac:dyDescent="0.2">
      <c r="A52" s="1081"/>
      <c r="B52" s="1081"/>
      <c r="C52" s="2019"/>
      <c r="D52" s="2019"/>
      <c r="E52" s="2019"/>
      <c r="F52" s="2019"/>
      <c r="G52" s="2019"/>
      <c r="H52" s="2019"/>
      <c r="I52" s="2019"/>
      <c r="J52" s="2019"/>
      <c r="K52" s="2019"/>
    </row>
    <row r="53" spans="1:11" s="1083" customFormat="1" ht="12.95" customHeight="1" x14ac:dyDescent="0.2">
      <c r="A53" s="1081"/>
      <c r="B53" s="1081"/>
      <c r="C53" s="1223"/>
      <c r="D53" s="1223"/>
      <c r="E53" s="1223"/>
      <c r="F53" s="1223"/>
      <c r="G53" s="1223"/>
      <c r="H53" s="1223"/>
      <c r="I53" s="1223"/>
      <c r="J53" s="1223"/>
      <c r="K53" s="1223"/>
    </row>
    <row r="54" spans="1:11" s="1083" customFormat="1" ht="24.95" customHeight="1" x14ac:dyDescent="0.2">
      <c r="A54" s="1081"/>
      <c r="B54" s="1081"/>
      <c r="C54" s="2019"/>
      <c r="D54" s="2019"/>
      <c r="E54" s="2019"/>
      <c r="F54" s="2019"/>
      <c r="G54" s="2019"/>
      <c r="H54" s="2019"/>
      <c r="I54" s="2019"/>
      <c r="J54" s="2019"/>
      <c r="K54" s="2019"/>
    </row>
    <row r="55" spans="1:11" s="1083" customFormat="1" ht="12.95" customHeight="1" x14ac:dyDescent="0.2">
      <c r="A55" s="1081"/>
      <c r="B55" s="1081"/>
      <c r="C55" s="2019"/>
      <c r="D55" s="2019"/>
      <c r="E55" s="2019"/>
      <c r="F55" s="2019"/>
      <c r="G55" s="2019"/>
      <c r="H55" s="2019"/>
      <c r="I55" s="2019"/>
      <c r="J55" s="2019"/>
      <c r="K55" s="1223"/>
    </row>
    <row r="56" spans="1:11" s="1083" customFormat="1" ht="24.95" customHeight="1" x14ac:dyDescent="0.2">
      <c r="A56" s="1081"/>
      <c r="C56" s="2019"/>
      <c r="D56" s="2019"/>
      <c r="E56" s="2019"/>
      <c r="F56" s="2019"/>
      <c r="G56" s="2019"/>
      <c r="H56" s="2019"/>
      <c r="I56" s="2019"/>
      <c r="J56" s="2019"/>
      <c r="K56" s="2019"/>
    </row>
    <row r="57" spans="1:11" s="1083" customFormat="1" ht="12.95" customHeight="1" x14ac:dyDescent="0.2">
      <c r="A57" s="1081"/>
      <c r="C57" s="2019"/>
      <c r="D57" s="2019"/>
      <c r="E57" s="2019"/>
      <c r="F57" s="2019"/>
      <c r="G57" s="2019"/>
      <c r="H57" s="2019"/>
      <c r="I57" s="2019"/>
      <c r="J57" s="2019"/>
      <c r="K57" s="1223"/>
    </row>
    <row r="58" spans="1:11" s="1083" customFormat="1" ht="24.95" customHeight="1" x14ac:dyDescent="0.2">
      <c r="A58" s="1081"/>
      <c r="B58" s="1081"/>
      <c r="C58" s="2019"/>
      <c r="D58" s="2019"/>
      <c r="E58" s="2019"/>
      <c r="F58" s="2019"/>
      <c r="G58" s="2019"/>
      <c r="H58" s="2019"/>
      <c r="I58" s="2019"/>
      <c r="J58" s="2019"/>
      <c r="K58" s="2019"/>
    </row>
    <row r="59" spans="1:11" s="1083" customFormat="1" ht="12.95" customHeight="1" x14ac:dyDescent="0.2">
      <c r="A59" s="1081"/>
      <c r="B59" s="1081"/>
      <c r="C59" s="2019"/>
      <c r="D59" s="2019"/>
      <c r="E59" s="2019"/>
      <c r="F59" s="2019"/>
      <c r="G59" s="2019"/>
      <c r="H59" s="2019"/>
      <c r="I59" s="2019"/>
      <c r="J59" s="2019"/>
      <c r="K59" s="1223"/>
    </row>
    <row r="60" spans="1:11" s="1083" customFormat="1" ht="24.95" customHeight="1" x14ac:dyDescent="0.2">
      <c r="A60" s="1081"/>
      <c r="B60" s="1081"/>
      <c r="C60" s="2019"/>
      <c r="D60" s="2019"/>
      <c r="E60" s="2019"/>
      <c r="F60" s="2019"/>
      <c r="G60" s="2019"/>
      <c r="H60" s="2019"/>
      <c r="I60" s="2019"/>
      <c r="J60" s="2019"/>
      <c r="K60" s="2019"/>
    </row>
    <row r="61" spans="1:11" s="1083" customFormat="1" ht="12.95" customHeight="1" x14ac:dyDescent="0.2">
      <c r="A61" s="1081"/>
      <c r="B61" s="1081"/>
      <c r="C61" s="2019"/>
      <c r="D61" s="2019"/>
      <c r="E61" s="2019"/>
      <c r="F61" s="2019"/>
      <c r="G61" s="2019"/>
      <c r="H61" s="2019"/>
      <c r="I61" s="2019"/>
      <c r="J61" s="2019"/>
      <c r="K61" s="1223"/>
    </row>
    <row r="62" spans="1:11" s="1083" customFormat="1" ht="24.95" customHeight="1" x14ac:dyDescent="0.2">
      <c r="A62" s="1081"/>
      <c r="B62" s="1081"/>
      <c r="C62" s="2022"/>
      <c r="D62" s="2022"/>
      <c r="E62" s="2022"/>
      <c r="F62" s="2022"/>
      <c r="G62" s="1199"/>
      <c r="H62" s="1092"/>
      <c r="I62" s="1092"/>
      <c r="J62" s="1092"/>
      <c r="K62" s="1092"/>
    </row>
    <row r="63" spans="1:11" s="1083" customFormat="1" ht="12.95" customHeight="1" x14ac:dyDescent="0.2">
      <c r="A63" s="1081"/>
      <c r="B63" s="1081"/>
      <c r="C63" s="2019"/>
      <c r="D63" s="2019"/>
      <c r="E63" s="2019"/>
      <c r="F63" s="2019"/>
      <c r="G63" s="2019"/>
      <c r="H63" s="2019"/>
      <c r="I63" s="2019"/>
      <c r="J63" s="2019"/>
      <c r="K63" s="1223"/>
    </row>
    <row r="64" spans="1:11" s="1083" customFormat="1" ht="24.95" customHeight="1" x14ac:dyDescent="0.2">
      <c r="A64" s="1081"/>
      <c r="B64" s="1081"/>
      <c r="C64" s="2019"/>
      <c r="D64" s="2019"/>
      <c r="E64" s="2019"/>
      <c r="F64" s="2019"/>
      <c r="G64" s="2019"/>
      <c r="H64" s="2019"/>
      <c r="I64" s="2019"/>
      <c r="J64" s="2019"/>
      <c r="K64" s="1223"/>
    </row>
    <row r="65" spans="1:12" s="1083" customFormat="1" ht="12.95" customHeight="1" x14ac:dyDescent="0.25">
      <c r="A65" s="1081"/>
      <c r="B65" s="1081"/>
      <c r="C65" s="2019"/>
      <c r="D65" s="2019"/>
      <c r="E65" s="2019"/>
      <c r="F65" s="2019"/>
      <c r="G65" s="2019"/>
      <c r="H65" s="2019"/>
      <c r="I65" s="2019"/>
      <c r="J65" s="2019"/>
      <c r="K65" s="1223"/>
      <c r="L65" s="1061"/>
    </row>
    <row r="66" spans="1:12" s="1083" customFormat="1" ht="24.95" customHeight="1" x14ac:dyDescent="0.25">
      <c r="A66" s="1081"/>
      <c r="B66" s="1081"/>
      <c r="C66" s="2020"/>
      <c r="D66" s="2020"/>
      <c r="E66" s="2020"/>
      <c r="F66" s="2020"/>
      <c r="G66" s="2020"/>
      <c r="H66" s="2020"/>
      <c r="I66" s="1223"/>
      <c r="J66" s="1223"/>
      <c r="K66" s="1223"/>
      <c r="L66" s="1061"/>
    </row>
    <row r="67" spans="1:12" s="1083" customFormat="1" ht="12.95" customHeight="1" x14ac:dyDescent="0.25">
      <c r="A67" s="1081"/>
      <c r="B67" s="1081"/>
      <c r="C67" s="1223"/>
      <c r="D67" s="1223"/>
      <c r="E67" s="1223"/>
      <c r="F67" s="1223"/>
      <c r="G67" s="1223"/>
      <c r="H67" s="1223"/>
      <c r="I67" s="1223"/>
      <c r="J67" s="1223"/>
      <c r="K67" s="1223"/>
      <c r="L67" s="1061"/>
    </row>
    <row r="68" spans="1:12" s="1083" customFormat="1" ht="24.95" customHeight="1" x14ac:dyDescent="0.25">
      <c r="A68" s="1081"/>
      <c r="B68" s="1081"/>
      <c r="C68" s="2020"/>
      <c r="D68" s="2020"/>
      <c r="E68" s="2020"/>
      <c r="F68" s="2020"/>
      <c r="G68" s="2020"/>
      <c r="H68" s="2020"/>
      <c r="I68" s="1223"/>
      <c r="J68" s="1223"/>
      <c r="K68" s="1223"/>
      <c r="L68" s="1061"/>
    </row>
    <row r="69" spans="1:12" s="1083" customFormat="1" ht="12.95" customHeight="1" x14ac:dyDescent="0.25">
      <c r="A69" s="1081"/>
      <c r="B69" s="1081"/>
      <c r="C69" s="1082"/>
      <c r="D69" s="1082"/>
      <c r="E69" s="1082"/>
      <c r="F69" s="1082"/>
      <c r="G69" s="1082"/>
      <c r="H69" s="1082"/>
      <c r="I69" s="1093"/>
      <c r="J69" s="1093"/>
      <c r="K69" s="1061"/>
      <c r="L69" s="1061"/>
    </row>
    <row r="70" spans="1:12" ht="125.1" customHeight="1" x14ac:dyDescent="0.25">
      <c r="A70" s="1081"/>
      <c r="B70" s="1081"/>
      <c r="C70" s="1082"/>
      <c r="D70" s="1082"/>
      <c r="E70" s="1082"/>
      <c r="F70" s="1082"/>
      <c r="G70" s="1082"/>
      <c r="H70" s="1082"/>
      <c r="I70" s="1093"/>
      <c r="J70" s="1093"/>
    </row>
    <row r="71" spans="1:12" ht="35.1" customHeight="1" x14ac:dyDescent="0.25">
      <c r="A71" s="1081"/>
      <c r="B71" s="1081"/>
      <c r="C71" s="1082"/>
      <c r="D71" s="1082"/>
      <c r="E71" s="1082"/>
      <c r="F71" s="1082"/>
      <c r="G71" s="1082"/>
      <c r="H71" s="1082"/>
      <c r="I71" s="1093"/>
      <c r="J71" s="1093"/>
    </row>
    <row r="72" spans="1:12" ht="35.1" customHeight="1" x14ac:dyDescent="0.25">
      <c r="A72" s="1081"/>
      <c r="B72" s="1081"/>
      <c r="C72" s="1082"/>
      <c r="D72" s="1082"/>
      <c r="E72" s="1082"/>
      <c r="F72" s="1082"/>
      <c r="G72" s="1082"/>
      <c r="H72" s="1082"/>
      <c r="I72" s="1225" t="s">
        <v>623</v>
      </c>
      <c r="J72" s="2018">
        <f>J3</f>
        <v>0</v>
      </c>
      <c r="K72" s="2018"/>
    </row>
    <row r="73" spans="1:12" ht="23.1" customHeight="1" x14ac:dyDescent="0.25">
      <c r="A73" s="1996" t="s">
        <v>625</v>
      </c>
      <c r="B73" s="1996"/>
      <c r="C73" s="1996"/>
      <c r="D73" s="1996"/>
      <c r="E73" s="1996"/>
      <c r="F73" s="1222"/>
      <c r="G73" s="1222"/>
    </row>
    <row r="74" spans="1:12" ht="12" customHeight="1" x14ac:dyDescent="0.25">
      <c r="A74" s="1224"/>
      <c r="B74" s="1224"/>
      <c r="C74" s="1224"/>
      <c r="D74" s="1224"/>
      <c r="E74" s="1224"/>
      <c r="F74" s="1224"/>
      <c r="G74" s="1071"/>
      <c r="H74" s="1070"/>
      <c r="I74" s="1070"/>
      <c r="J74" s="1070"/>
      <c r="K74" s="1070"/>
    </row>
    <row r="75" spans="1:12" ht="23.1" customHeight="1" x14ac:dyDescent="0.25">
      <c r="A75" s="1375" t="s">
        <v>516</v>
      </c>
      <c r="B75" s="1956" t="s">
        <v>517</v>
      </c>
      <c r="C75" s="1956"/>
      <c r="D75" s="1956"/>
      <c r="E75" s="1956"/>
      <c r="F75" s="1956"/>
      <c r="G75" s="1956"/>
      <c r="H75" s="1956"/>
      <c r="I75" s="1956"/>
      <c r="J75" s="1956"/>
      <c r="K75" s="1956"/>
    </row>
    <row r="76" spans="1:12" ht="23.1" customHeight="1" x14ac:dyDescent="0.25">
      <c r="A76" s="1375" t="s">
        <v>516</v>
      </c>
      <c r="B76" s="1956" t="s">
        <v>518</v>
      </c>
      <c r="C76" s="1956"/>
      <c r="D76" s="1956"/>
      <c r="E76" s="1956"/>
      <c r="F76" s="1956"/>
      <c r="G76" s="1956"/>
      <c r="H76" s="1956"/>
      <c r="I76" s="1956"/>
      <c r="J76" s="1956"/>
      <c r="K76" s="1956"/>
    </row>
    <row r="77" spans="1:12" ht="33" customHeight="1" x14ac:dyDescent="0.25">
      <c r="A77" s="1375" t="s">
        <v>516</v>
      </c>
      <c r="B77" s="1956" t="s">
        <v>519</v>
      </c>
      <c r="C77" s="1956"/>
      <c r="D77" s="1956"/>
      <c r="E77" s="1956"/>
      <c r="F77" s="1956"/>
      <c r="G77" s="1956"/>
      <c r="H77" s="1956"/>
      <c r="I77" s="1956"/>
      <c r="J77" s="1956"/>
      <c r="K77" s="1956"/>
    </row>
    <row r="78" spans="1:12" s="1153" customFormat="1" ht="23.1" customHeight="1" x14ac:dyDescent="0.25">
      <c r="A78" s="1375" t="s">
        <v>516</v>
      </c>
      <c r="B78" s="1956" t="s">
        <v>520</v>
      </c>
      <c r="C78" s="1956"/>
      <c r="D78" s="1956"/>
      <c r="E78" s="1956"/>
      <c r="F78" s="1956"/>
      <c r="G78" s="1956"/>
      <c r="H78" s="1956"/>
      <c r="I78" s="1956"/>
      <c r="J78" s="1956"/>
      <c r="K78" s="1956"/>
    </row>
    <row r="79" spans="1:12" s="1153" customFormat="1" ht="23.1" customHeight="1" x14ac:dyDescent="0.25">
      <c r="A79" s="1375" t="s">
        <v>516</v>
      </c>
      <c r="B79" s="1956" t="s">
        <v>521</v>
      </c>
      <c r="C79" s="1956"/>
      <c r="D79" s="1956"/>
      <c r="E79" s="1956"/>
      <c r="F79" s="1956"/>
      <c r="G79" s="1956"/>
      <c r="H79" s="1956"/>
      <c r="I79" s="1956"/>
      <c r="J79" s="1956"/>
      <c r="K79" s="1956"/>
    </row>
    <row r="80" spans="1:12" s="1153" customFormat="1" ht="23.1" customHeight="1" x14ac:dyDescent="0.25">
      <c r="A80" s="1375" t="s">
        <v>516</v>
      </c>
      <c r="B80" s="1956" t="s">
        <v>522</v>
      </c>
      <c r="C80" s="1956"/>
      <c r="D80" s="1956"/>
      <c r="E80" s="1956"/>
      <c r="F80" s="1956"/>
      <c r="G80" s="1956"/>
      <c r="H80" s="1956"/>
      <c r="I80" s="1956"/>
      <c r="J80" s="1956"/>
      <c r="K80" s="1956"/>
    </row>
    <row r="81" spans="1:12" ht="23.1" customHeight="1" x14ac:dyDescent="0.25">
      <c r="A81" s="1375" t="s">
        <v>516</v>
      </c>
      <c r="B81" s="1956" t="s">
        <v>523</v>
      </c>
      <c r="C81" s="1956"/>
      <c r="D81" s="1956"/>
      <c r="E81" s="1956"/>
      <c r="F81" s="1956"/>
      <c r="G81" s="1956"/>
      <c r="H81" s="1956"/>
      <c r="I81" s="1956"/>
      <c r="J81" s="1956"/>
      <c r="K81" s="1956"/>
    </row>
    <row r="82" spans="1:12" s="1153" customFormat="1" ht="23.1" customHeight="1" x14ac:dyDescent="0.25">
      <c r="A82" s="1375" t="s">
        <v>516</v>
      </c>
      <c r="B82" s="1956" t="s">
        <v>524</v>
      </c>
      <c r="C82" s="1956"/>
      <c r="D82" s="1956"/>
      <c r="E82" s="1956"/>
      <c r="F82" s="1956"/>
      <c r="G82" s="1956"/>
      <c r="H82" s="1956"/>
      <c r="I82" s="1956"/>
      <c r="J82" s="1956"/>
      <c r="K82" s="1956"/>
      <c r="L82" s="1154"/>
    </row>
    <row r="83" spans="1:12" s="1153" customFormat="1" ht="23.1" customHeight="1" x14ac:dyDescent="0.25">
      <c r="A83" s="1375" t="s">
        <v>525</v>
      </c>
      <c r="B83" s="1956" t="s">
        <v>526</v>
      </c>
      <c r="C83" s="1956"/>
      <c r="D83" s="1956"/>
      <c r="E83" s="1956"/>
      <c r="F83" s="1956"/>
      <c r="G83" s="1956"/>
      <c r="H83" s="1956"/>
      <c r="I83" s="1956"/>
      <c r="J83" s="1956"/>
      <c r="K83" s="1956"/>
      <c r="L83" s="1154"/>
    </row>
    <row r="84" spans="1:12" ht="23.1" customHeight="1" x14ac:dyDescent="0.25">
      <c r="A84" s="1375" t="s">
        <v>525</v>
      </c>
      <c r="B84" s="1956" t="s">
        <v>593</v>
      </c>
      <c r="C84" s="1956"/>
      <c r="D84" s="1956"/>
      <c r="E84" s="1956"/>
      <c r="F84" s="1956"/>
      <c r="G84" s="1956"/>
      <c r="H84" s="1956"/>
      <c r="I84" s="1956"/>
      <c r="J84" s="1956"/>
      <c r="K84" s="1956"/>
      <c r="L84" s="1155"/>
    </row>
    <row r="85" spans="1:12" ht="23.1" customHeight="1" x14ac:dyDescent="0.25">
      <c r="A85" s="1376" t="s">
        <v>516</v>
      </c>
      <c r="B85" s="1956" t="s">
        <v>527</v>
      </c>
      <c r="C85" s="1956"/>
      <c r="D85" s="1956"/>
      <c r="E85" s="1956"/>
      <c r="F85" s="1956"/>
      <c r="G85" s="1956"/>
      <c r="H85" s="1956"/>
      <c r="I85" s="1956"/>
      <c r="J85" s="1956"/>
      <c r="K85" s="1956"/>
      <c r="L85" s="1156"/>
    </row>
    <row r="86" spans="1:12" ht="33" customHeight="1" x14ac:dyDescent="0.25">
      <c r="A86" s="1375" t="s">
        <v>516</v>
      </c>
      <c r="B86" s="1956" t="s">
        <v>528</v>
      </c>
      <c r="C86" s="1956"/>
      <c r="D86" s="1956"/>
      <c r="E86" s="1956"/>
      <c r="F86" s="1956"/>
      <c r="G86" s="1956"/>
      <c r="H86" s="1956"/>
      <c r="I86" s="1956"/>
      <c r="J86" s="1956"/>
      <c r="K86" s="1956"/>
    </row>
    <row r="87" spans="1:12" ht="23.1" customHeight="1" x14ac:dyDescent="0.25">
      <c r="A87" s="1375" t="s">
        <v>516</v>
      </c>
      <c r="B87" s="1956" t="s">
        <v>529</v>
      </c>
      <c r="C87" s="1956"/>
      <c r="D87" s="1956"/>
      <c r="E87" s="1956"/>
      <c r="F87" s="1956"/>
      <c r="G87" s="1956"/>
      <c r="H87" s="1956"/>
      <c r="I87" s="1956"/>
      <c r="J87" s="1956"/>
      <c r="K87" s="1956"/>
    </row>
    <row r="88" spans="1:12" ht="23.1" customHeight="1" x14ac:dyDescent="0.25">
      <c r="A88" s="1375" t="s">
        <v>516</v>
      </c>
      <c r="B88" s="1956" t="s">
        <v>530</v>
      </c>
      <c r="C88" s="1956"/>
      <c r="D88" s="1956"/>
      <c r="E88" s="1956"/>
      <c r="F88" s="1956"/>
      <c r="G88" s="1956"/>
      <c r="H88" s="1956"/>
      <c r="I88" s="1956"/>
      <c r="J88" s="1956"/>
      <c r="K88" s="1956"/>
    </row>
    <row r="89" spans="1:12" ht="23.1" customHeight="1" x14ac:dyDescent="0.25">
      <c r="A89" s="1375" t="s">
        <v>516</v>
      </c>
      <c r="B89" s="1956" t="s">
        <v>592</v>
      </c>
      <c r="C89" s="1956"/>
      <c r="D89" s="1956"/>
      <c r="E89" s="1956"/>
      <c r="F89" s="1956"/>
      <c r="G89" s="1956"/>
      <c r="H89" s="1956"/>
      <c r="I89" s="1956"/>
      <c r="J89" s="1956"/>
      <c r="K89" s="1956"/>
    </row>
    <row r="90" spans="1:12" ht="23.1" customHeight="1" x14ac:dyDescent="0.25">
      <c r="A90" s="1375" t="s">
        <v>516</v>
      </c>
      <c r="B90" s="1956" t="s">
        <v>531</v>
      </c>
      <c r="C90" s="1956"/>
      <c r="D90" s="1956"/>
      <c r="E90" s="1956"/>
      <c r="F90" s="1956"/>
      <c r="G90" s="1956"/>
      <c r="H90" s="1956"/>
      <c r="I90" s="1956"/>
      <c r="J90" s="1956"/>
      <c r="K90" s="1956"/>
    </row>
    <row r="91" spans="1:12" ht="23.1" customHeight="1" x14ac:dyDescent="0.25">
      <c r="A91" s="1375" t="s">
        <v>516</v>
      </c>
      <c r="B91" s="1956" t="s">
        <v>591</v>
      </c>
      <c r="C91" s="1956"/>
      <c r="D91" s="1956"/>
      <c r="E91" s="1956"/>
      <c r="F91" s="1956"/>
      <c r="G91" s="1956"/>
      <c r="H91" s="1956"/>
      <c r="I91" s="1956"/>
      <c r="J91" s="1956"/>
      <c r="K91" s="1956"/>
    </row>
    <row r="92" spans="1:12" ht="23.1" customHeight="1" x14ac:dyDescent="0.25">
      <c r="A92" s="1375" t="s">
        <v>525</v>
      </c>
      <c r="B92" s="1956" t="s">
        <v>590</v>
      </c>
      <c r="C92" s="1956"/>
      <c r="D92" s="1956"/>
      <c r="E92" s="1956"/>
      <c r="F92" s="1956"/>
      <c r="G92" s="1956"/>
      <c r="H92" s="1956"/>
      <c r="I92" s="1956"/>
      <c r="J92" s="1956"/>
      <c r="K92" s="1956"/>
    </row>
    <row r="93" spans="1:12" ht="23.1" customHeight="1" x14ac:dyDescent="0.25">
      <c r="A93" s="1375" t="s">
        <v>516</v>
      </c>
      <c r="B93" s="2045" t="s">
        <v>589</v>
      </c>
      <c r="C93" s="2045"/>
      <c r="D93" s="2045"/>
      <c r="E93" s="2045"/>
      <c r="F93" s="2045"/>
      <c r="G93" s="2045"/>
      <c r="H93" s="2045"/>
      <c r="I93" s="2045"/>
      <c r="J93" s="2045"/>
      <c r="K93" s="2045"/>
    </row>
    <row r="94" spans="1:12" ht="15" customHeight="1" x14ac:dyDescent="0.25">
      <c r="E94" s="1070"/>
      <c r="F94" s="1070"/>
      <c r="G94" s="1070"/>
      <c r="H94" s="1070"/>
      <c r="I94" s="1070"/>
      <c r="J94" s="1070"/>
      <c r="K94" s="1070"/>
    </row>
    <row r="95" spans="1:12" ht="15" customHeight="1" x14ac:dyDescent="0.25">
      <c r="A95" s="1955" t="s">
        <v>31</v>
      </c>
      <c r="B95" s="1955"/>
      <c r="C95" s="1955"/>
      <c r="D95" s="1955"/>
      <c r="E95" s="1070"/>
      <c r="F95" s="1070"/>
      <c r="G95" s="1070"/>
      <c r="H95" s="1070"/>
      <c r="I95" s="1070"/>
      <c r="J95" s="1070"/>
      <c r="K95" s="1070"/>
    </row>
    <row r="96" spans="1:12" ht="15" customHeight="1" x14ac:dyDescent="0.25">
      <c r="A96" s="1227"/>
      <c r="B96" s="1227"/>
      <c r="C96" s="1227"/>
      <c r="D96" s="1227"/>
      <c r="E96" s="1070"/>
      <c r="F96" s="1070"/>
      <c r="G96" s="1070"/>
      <c r="H96" s="1070"/>
      <c r="I96" s="1070"/>
      <c r="J96" s="1070"/>
      <c r="K96" s="1070"/>
    </row>
    <row r="97" spans="1:11" ht="15" customHeight="1" x14ac:dyDescent="0.25">
      <c r="A97" s="1070"/>
      <c r="B97" s="1070"/>
      <c r="C97" s="1070"/>
      <c r="D97" s="1070"/>
      <c r="E97" s="1070"/>
      <c r="F97" s="1070"/>
      <c r="G97" s="1070"/>
      <c r="H97" s="1070"/>
      <c r="I97" s="1070"/>
      <c r="J97" s="1070"/>
      <c r="K97" s="1070"/>
    </row>
    <row r="98" spans="1:11" ht="15" customHeight="1" x14ac:dyDescent="0.25">
      <c r="A98" s="1070"/>
      <c r="B98" s="1070"/>
      <c r="C98" s="1070"/>
      <c r="D98" s="1070"/>
      <c r="E98" s="1070"/>
      <c r="F98" s="1070"/>
      <c r="G98" s="1070"/>
      <c r="H98" s="1070"/>
      <c r="I98" s="1070"/>
      <c r="J98" s="1070"/>
      <c r="K98" s="1070"/>
    </row>
    <row r="99" spans="1:11" ht="15" customHeight="1" x14ac:dyDescent="0.25">
      <c r="A99" s="1157"/>
      <c r="B99" s="1075"/>
      <c r="C99" s="1957"/>
      <c r="D99" s="1957"/>
      <c r="E99" s="1957"/>
      <c r="F99" s="1957"/>
      <c r="G99" s="1075"/>
      <c r="H99" s="1957"/>
      <c r="I99" s="1957"/>
      <c r="J99" s="1957"/>
      <c r="K99" s="1157"/>
    </row>
    <row r="100" spans="1:11" ht="23.1" customHeight="1" x14ac:dyDescent="0.25">
      <c r="A100" s="1070"/>
      <c r="C100" s="1952" t="s">
        <v>32</v>
      </c>
      <c r="D100" s="1952"/>
      <c r="E100" s="1952"/>
      <c r="F100" s="1952"/>
      <c r="G100" s="1075"/>
      <c r="H100" s="1952" t="s">
        <v>515</v>
      </c>
      <c r="I100" s="1952"/>
      <c r="J100" s="1952"/>
      <c r="K100" s="1070"/>
    </row>
    <row r="101" spans="1:11" ht="23.1" customHeight="1" x14ac:dyDescent="0.25">
      <c r="C101" s="1953" t="e">
        <f>VLOOKUP(A99,'DATOS %'!P9:S13,4,FALSE)</f>
        <v>#N/A</v>
      </c>
      <c r="D101" s="1953"/>
      <c r="E101" s="1953"/>
      <c r="F101" s="1953"/>
      <c r="G101" s="1158"/>
      <c r="H101" s="1954" t="e">
        <f>VLOOKUP(K99,'DATOS %'!P9:U13,6,FALSE)</f>
        <v>#N/A</v>
      </c>
      <c r="I101" s="1954"/>
      <c r="J101" s="1954"/>
      <c r="K101" s="1158"/>
    </row>
    <row r="102" spans="1:11" ht="23.1" customHeight="1" x14ac:dyDescent="0.25">
      <c r="A102" s="1070"/>
      <c r="C102" s="1955" t="e">
        <f>VLOOKUP(A99,'DATOS %'!P9:S13,2,FALSE)</f>
        <v>#N/A</v>
      </c>
      <c r="D102" s="1955"/>
      <c r="E102" s="1955"/>
      <c r="F102" s="1955"/>
      <c r="G102" s="1063"/>
      <c r="H102" s="1955" t="e">
        <f>VLOOKUP(K99,'DATOS %'!P9:U13,2,FALSE)</f>
        <v>#N/A</v>
      </c>
      <c r="I102" s="1955"/>
      <c r="J102" s="1955"/>
      <c r="K102" s="1063"/>
    </row>
    <row r="103" spans="1:11" ht="15" customHeight="1" x14ac:dyDescent="0.25">
      <c r="D103" s="1070"/>
      <c r="E103" s="1070"/>
      <c r="F103" s="1070"/>
      <c r="G103" s="1070"/>
      <c r="H103" s="1070"/>
      <c r="I103" s="1070"/>
      <c r="J103" s="1070"/>
      <c r="K103" s="1070"/>
    </row>
    <row r="104" spans="1:11" ht="20.25" customHeight="1" x14ac:dyDescent="0.25">
      <c r="A104" s="1070"/>
      <c r="B104" s="2044" t="s">
        <v>428</v>
      </c>
      <c r="C104" s="2044"/>
      <c r="D104" s="1384" t="s">
        <v>429</v>
      </c>
      <c r="E104" s="1384"/>
      <c r="F104" s="1384"/>
      <c r="G104" s="1385"/>
      <c r="H104" s="1386"/>
      <c r="I104" s="2043" t="s">
        <v>514</v>
      </c>
      <c r="J104" s="2043"/>
      <c r="K104" s="1387" t="s">
        <v>429</v>
      </c>
    </row>
    <row r="105" spans="1:11" ht="15" customHeight="1" x14ac:dyDescent="0.25">
      <c r="A105" s="1070"/>
      <c r="J105" s="1070"/>
      <c r="K105" s="1070"/>
    </row>
    <row r="106" spans="1:11" ht="15.75" customHeight="1" x14ac:dyDescent="0.25">
      <c r="A106" s="1951" t="s">
        <v>232</v>
      </c>
      <c r="B106" s="1951"/>
      <c r="C106" s="1951"/>
      <c r="D106" s="1951"/>
      <c r="E106" s="1951"/>
      <c r="F106" s="1951"/>
      <c r="G106" s="1951"/>
      <c r="H106" s="1951"/>
      <c r="I106" s="1951"/>
      <c r="J106" s="1951"/>
      <c r="K106" s="1951"/>
    </row>
  </sheetData>
  <sheetProtection password="CF5C" sheet="1" objects="1" scenarios="1"/>
  <mergeCells count="99">
    <mergeCell ref="A7:B7"/>
    <mergeCell ref="D7:K7"/>
    <mergeCell ref="A1:K1"/>
    <mergeCell ref="J3:K3"/>
    <mergeCell ref="A4:D4"/>
    <mergeCell ref="A6:B6"/>
    <mergeCell ref="D6:K6"/>
    <mergeCell ref="A15:D15"/>
    <mergeCell ref="E15:H15"/>
    <mergeCell ref="A8:B8"/>
    <mergeCell ref="D8:K8"/>
    <mergeCell ref="A10:D10"/>
    <mergeCell ref="E10:F10"/>
    <mergeCell ref="H10:I10"/>
    <mergeCell ref="J10:K10"/>
    <mergeCell ref="A11:B11"/>
    <mergeCell ref="D11:F11"/>
    <mergeCell ref="A12:J12"/>
    <mergeCell ref="A14:D14"/>
    <mergeCell ref="E14:H14"/>
    <mergeCell ref="A22:D22"/>
    <mergeCell ref="A23:D23"/>
    <mergeCell ref="E23:H23"/>
    <mergeCell ref="S21:W21"/>
    <mergeCell ref="A16:D16"/>
    <mergeCell ref="E16:H16"/>
    <mergeCell ref="A17:D17"/>
    <mergeCell ref="E17:H17"/>
    <mergeCell ref="A18:D18"/>
    <mergeCell ref="E18:H18"/>
    <mergeCell ref="A19:D19"/>
    <mergeCell ref="E19:H19"/>
    <mergeCell ref="A20:D20"/>
    <mergeCell ref="E20:H20"/>
    <mergeCell ref="A21:D21"/>
    <mergeCell ref="S23:U23"/>
    <mergeCell ref="W23:Y23"/>
    <mergeCell ref="C50:K50"/>
    <mergeCell ref="A25:K25"/>
    <mergeCell ref="A27:K27"/>
    <mergeCell ref="A28:K28"/>
    <mergeCell ref="A29:D29"/>
    <mergeCell ref="E29:F29"/>
    <mergeCell ref="A31:H31"/>
    <mergeCell ref="A33:K34"/>
    <mergeCell ref="J38:K38"/>
    <mergeCell ref="A43:B43"/>
    <mergeCell ref="C45:K45"/>
    <mergeCell ref="C47:K48"/>
    <mergeCell ref="A24:D24"/>
    <mergeCell ref="E24:H24"/>
    <mergeCell ref="C64:J64"/>
    <mergeCell ref="C52:K52"/>
    <mergeCell ref="C54:K54"/>
    <mergeCell ref="C55:J55"/>
    <mergeCell ref="C56:K56"/>
    <mergeCell ref="C57:J57"/>
    <mergeCell ref="C58:K58"/>
    <mergeCell ref="C59:J59"/>
    <mergeCell ref="C60:K60"/>
    <mergeCell ref="C61:J61"/>
    <mergeCell ref="C62:F62"/>
    <mergeCell ref="C63:J63"/>
    <mergeCell ref="B75:K75"/>
    <mergeCell ref="B76:K76"/>
    <mergeCell ref="B77:K77"/>
    <mergeCell ref="B78:K78"/>
    <mergeCell ref="C65:J65"/>
    <mergeCell ref="C66:H66"/>
    <mergeCell ref="C68:H68"/>
    <mergeCell ref="A73:E73"/>
    <mergeCell ref="J72:K72"/>
    <mergeCell ref="B90:K90"/>
    <mergeCell ref="B79:K79"/>
    <mergeCell ref="B80:K80"/>
    <mergeCell ref="B81:K81"/>
    <mergeCell ref="B82:K82"/>
    <mergeCell ref="B83:K83"/>
    <mergeCell ref="B84:K84"/>
    <mergeCell ref="B85:K85"/>
    <mergeCell ref="B86:K86"/>
    <mergeCell ref="B87:K87"/>
    <mergeCell ref="B88:K88"/>
    <mergeCell ref="B89:K89"/>
    <mergeCell ref="C99:F99"/>
    <mergeCell ref="C101:F101"/>
    <mergeCell ref="C102:F102"/>
    <mergeCell ref="C100:F100"/>
    <mergeCell ref="B91:K91"/>
    <mergeCell ref="B92:K92"/>
    <mergeCell ref="B93:K93"/>
    <mergeCell ref="A95:D95"/>
    <mergeCell ref="H99:J99"/>
    <mergeCell ref="I104:J104"/>
    <mergeCell ref="A106:K106"/>
    <mergeCell ref="H100:J100"/>
    <mergeCell ref="H101:J101"/>
    <mergeCell ref="H102:J102"/>
    <mergeCell ref="B104:C104"/>
  </mergeCells>
  <printOptions horizontalCentered="1"/>
  <pageMargins left="0.23622047244094491" right="0.23622047244094491" top="0.74803149606299213" bottom="0.74803149606299213" header="0.31496062992125984" footer="0.31496062992125984"/>
  <pageSetup scale="65" orientation="portrait" r:id="rId1"/>
  <headerFooter>
    <oddHeader>&amp;C
&amp;"-,Negrita"INFORME DE RECIPIENTES VOLUMÉTRICOS NO APTOS</oddHeader>
    <oddFooter xml:space="preserve">&amp;RRT03-F17 Vr.3 (2021-05-10)
&amp;P de 4 </oddFooter>
  </headerFooter>
  <rowBreaks count="2" manualBreakCount="2">
    <brk id="35" max="10" man="1"/>
    <brk id="69" max="10" man="1"/>
  </rowBreaks>
  <colBreaks count="1" manualBreakCount="1">
    <brk id="11"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'DATOS %'!$P$9:$P$13</xm:f>
          </x14:formula1>
          <xm:sqref>K99 A99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66CC"/>
  </sheetPr>
  <dimension ref="A1:CL127"/>
  <sheetViews>
    <sheetView showGridLines="0" view="pageBreakPreview" zoomScale="90" zoomScaleNormal="40" zoomScaleSheetLayoutView="90" workbookViewId="0">
      <selection activeCell="O120" sqref="O120"/>
    </sheetView>
  </sheetViews>
  <sheetFormatPr baseColWidth="10" defaultColWidth="11.42578125" defaultRowHeight="15" x14ac:dyDescent="0.2"/>
  <cols>
    <col min="1" max="1" width="20.7109375" style="5" customWidth="1"/>
    <col min="2" max="2" width="18" style="5" customWidth="1"/>
    <col min="3" max="3" width="17.140625" style="5" customWidth="1"/>
    <col min="4" max="4" width="16.7109375" style="5" customWidth="1"/>
    <col min="5" max="5" width="17.28515625" style="5" customWidth="1"/>
    <col min="6" max="6" width="11.5703125" style="5" customWidth="1"/>
    <col min="7" max="7" width="14.42578125" style="5" customWidth="1"/>
    <col min="8" max="8" width="17.5703125" style="5" customWidth="1"/>
    <col min="9" max="9" width="16.140625" style="5" customWidth="1"/>
    <col min="10" max="10" width="15.7109375" style="5" customWidth="1"/>
    <col min="11" max="11" width="13.42578125" style="5" customWidth="1"/>
    <col min="12" max="12" width="16.42578125" style="5" customWidth="1"/>
    <col min="13" max="13" width="17.140625" style="5" customWidth="1"/>
    <col min="14" max="14" width="17.85546875" style="5" customWidth="1"/>
    <col min="15" max="15" width="21" style="5" customWidth="1"/>
    <col min="16" max="16" width="16.42578125" style="5" customWidth="1"/>
    <col min="17" max="17" width="15.5703125" style="5" customWidth="1"/>
    <col min="18" max="18" width="17.42578125" style="5" customWidth="1"/>
    <col min="19" max="24" width="11.42578125" style="5"/>
    <col min="25" max="25" width="11.7109375" style="5" customWidth="1"/>
    <col min="26" max="16384" width="11.42578125" style="5"/>
  </cols>
  <sheetData>
    <row r="1" spans="1:19" s="21" customFormat="1" ht="75" customHeight="1" thickBot="1" x14ac:dyDescent="0.3">
      <c r="A1" s="1752"/>
      <c r="B1" s="1753"/>
      <c r="C1" s="1754"/>
      <c r="D1" s="1743" t="s">
        <v>308</v>
      </c>
      <c r="E1" s="1744"/>
      <c r="F1" s="1744"/>
      <c r="G1" s="1744"/>
      <c r="H1" s="1744"/>
      <c r="I1" s="1744"/>
      <c r="J1" s="1744"/>
      <c r="K1" s="1744"/>
      <c r="L1" s="1744"/>
      <c r="M1" s="1744"/>
      <c r="N1" s="1744"/>
      <c r="O1" s="1744"/>
      <c r="P1" s="1744"/>
      <c r="Q1" s="1744"/>
      <c r="R1" s="1745"/>
      <c r="S1" s="281"/>
    </row>
    <row r="2" spans="1:19" s="285" customFormat="1" ht="5.0999999999999996" customHeight="1" thickBot="1" x14ac:dyDescent="0.3">
      <c r="A2" s="282"/>
      <c r="B2" s="282"/>
      <c r="C2" s="283"/>
      <c r="D2" s="284"/>
      <c r="E2" s="284"/>
      <c r="F2" s="284"/>
      <c r="G2" s="284"/>
      <c r="H2" s="284"/>
      <c r="I2" s="284"/>
      <c r="J2" s="284"/>
      <c r="K2" s="284"/>
      <c r="L2" s="284"/>
      <c r="M2" s="284"/>
      <c r="N2" s="284"/>
      <c r="O2" s="284"/>
      <c r="P2" s="284"/>
      <c r="Q2" s="284"/>
      <c r="R2" s="284"/>
    </row>
    <row r="3" spans="1:19" s="24" customFormat="1" ht="31.5" customHeight="1" thickBot="1" x14ac:dyDescent="0.3">
      <c r="A3" s="286" t="s">
        <v>44</v>
      </c>
      <c r="B3" s="287" t="e">
        <f>VLOOKUP($S3,'DATOS %'!$D$7:$N$19,2,FALSE)</f>
        <v>#N/A</v>
      </c>
      <c r="C3" s="288" t="s">
        <v>165</v>
      </c>
      <c r="D3" s="1746" t="e">
        <f>VLOOKUP($S$3,'DATOS %'!$D$7:$N$19,3,FALSE)</f>
        <v>#N/A</v>
      </c>
      <c r="E3" s="1747"/>
      <c r="F3" s="288" t="s">
        <v>306</v>
      </c>
      <c r="G3" s="1748" t="e">
        <f>VLOOKUP($S$3,'DATOS %'!$D$7:$N$19,7,FALSE)</f>
        <v>#N/A</v>
      </c>
      <c r="H3" s="1748"/>
      <c r="I3" s="288" t="s">
        <v>166</v>
      </c>
      <c r="J3" s="1748" t="e">
        <f>VLOOKUP($S$3,'DATOS %'!$D$7:$N$19,4,FALSE)</f>
        <v>#N/A</v>
      </c>
      <c r="K3" s="1748"/>
      <c r="L3" s="288" t="s">
        <v>26</v>
      </c>
      <c r="M3" s="1746" t="e">
        <f>VLOOKUP($S$3,'DATOS %'!$D$7:$N$19,6,FALSE)</f>
        <v>#N/A</v>
      </c>
      <c r="N3" s="1747"/>
      <c r="O3" s="813" t="s">
        <v>300</v>
      </c>
      <c r="P3" s="1748" t="e">
        <f>VLOOKUP($S$3,'DATOS %'!$D$7:$N$19,11,FALSE)</f>
        <v>#N/A</v>
      </c>
      <c r="Q3" s="1748"/>
      <c r="R3" s="1749"/>
      <c r="S3" s="289"/>
    </row>
    <row r="4" spans="1:19" s="24" customFormat="1" ht="5.0999999999999996" customHeight="1" thickBot="1" x14ac:dyDescent="0.3"/>
    <row r="5" spans="1:19" s="24" customFormat="1" ht="30" customHeight="1" thickBot="1" x14ac:dyDescent="0.3">
      <c r="A5" s="1649" t="s">
        <v>53</v>
      </c>
      <c r="B5" s="1650"/>
      <c r="C5" s="1650"/>
      <c r="D5" s="1650"/>
      <c r="E5" s="1650"/>
      <c r="F5" s="1650"/>
      <c r="G5" s="1650"/>
      <c r="H5" s="1650"/>
      <c r="I5" s="1650"/>
      <c r="J5" s="1650"/>
      <c r="K5" s="1650"/>
      <c r="L5" s="1650"/>
      <c r="M5" s="1650"/>
      <c r="N5" s="1650"/>
      <c r="O5" s="1650"/>
      <c r="P5" s="1650"/>
      <c r="Q5" s="1650"/>
      <c r="R5" s="1651"/>
    </row>
    <row r="6" spans="1:19" s="21" customFormat="1" ht="67.5" customHeight="1" thickBot="1" x14ac:dyDescent="0.3">
      <c r="A6" s="290" t="s">
        <v>14</v>
      </c>
      <c r="B6" s="269" t="s">
        <v>157</v>
      </c>
      <c r="C6" s="291" t="s">
        <v>449</v>
      </c>
      <c r="D6" s="291" t="s">
        <v>54</v>
      </c>
      <c r="E6" s="291" t="s">
        <v>156</v>
      </c>
      <c r="F6" s="291" t="s">
        <v>54</v>
      </c>
      <c r="G6" s="291" t="s">
        <v>199</v>
      </c>
      <c r="H6" s="291" t="s">
        <v>54</v>
      </c>
      <c r="I6" s="291" t="s">
        <v>154</v>
      </c>
      <c r="J6" s="291" t="s">
        <v>54</v>
      </c>
      <c r="K6" s="785" t="s">
        <v>475</v>
      </c>
      <c r="L6" s="291" t="s">
        <v>54</v>
      </c>
      <c r="M6" s="291" t="s">
        <v>307</v>
      </c>
      <c r="N6" s="291" t="s">
        <v>54</v>
      </c>
      <c r="O6" s="291" t="s">
        <v>200</v>
      </c>
      <c r="P6" s="291" t="s">
        <v>155</v>
      </c>
      <c r="Q6" s="1721" t="s">
        <v>171</v>
      </c>
      <c r="R6" s="1722"/>
    </row>
    <row r="7" spans="1:19" s="21" customFormat="1" ht="29.25" customHeight="1" thickBot="1" x14ac:dyDescent="0.3">
      <c r="A7" s="292" t="s">
        <v>1</v>
      </c>
      <c r="B7" s="293" t="e">
        <f>VLOOKUP(S7,'DATOS %'!C31:O33,3,FALSE)</f>
        <v>#N/A</v>
      </c>
      <c r="C7" s="294" t="e">
        <f>VLOOKUP(S7,'DATOS %'!C31:O33,4,FALSE)</f>
        <v>#N/A</v>
      </c>
      <c r="D7" s="295" t="s">
        <v>4</v>
      </c>
      <c r="E7" s="296" t="e">
        <f>VLOOKUP(S7,'DATOS %'!C31:O33,5,FALSE)</f>
        <v>#N/A</v>
      </c>
      <c r="F7" s="295" t="s">
        <v>4</v>
      </c>
      <c r="G7" s="294" t="e">
        <f>VLOOKUP(S7,'DATOS %'!C31:O33,6,FALSE)</f>
        <v>#N/A</v>
      </c>
      <c r="H7" s="295" t="s">
        <v>55</v>
      </c>
      <c r="I7" s="297" t="e">
        <f>VLOOKUP(S7,'DATOS %'!C31:O33,7,FALSE)</f>
        <v>#N/A</v>
      </c>
      <c r="J7" s="295" t="s">
        <v>4</v>
      </c>
      <c r="K7" s="786" t="e">
        <f>VLOOKUP(S7,'DATOS %'!C31:O33,13,FALSE)</f>
        <v>#N/A</v>
      </c>
      <c r="L7" s="295" t="s">
        <v>4</v>
      </c>
      <c r="M7" s="298" t="e">
        <f t="shared" ref="M7:M19" si="0">SQRT((I7/2)^2+(K7/SQRT(12))^2)</f>
        <v>#N/A</v>
      </c>
      <c r="N7" s="295" t="s">
        <v>4</v>
      </c>
      <c r="O7" s="296" t="e">
        <f>VLOOKUP(S7,'DATOS %'!C31:O33,8,FALSE)</f>
        <v>#N/A</v>
      </c>
      <c r="P7" s="299" t="e">
        <f>VLOOKUP(S7,'DATOS %'!C31:O33,9,FALSE)</f>
        <v>#N/A</v>
      </c>
      <c r="Q7" s="300"/>
      <c r="R7" s="301"/>
      <c r="S7" s="302"/>
    </row>
    <row r="8" spans="1:19" s="21" customFormat="1" ht="30" customHeight="1" x14ac:dyDescent="0.25">
      <c r="A8" s="1734" t="s">
        <v>56</v>
      </c>
      <c r="B8" s="303" t="e">
        <f>VLOOKUP(S8,'DATOS %'!$C$37:$R$48,3,FALSE)</f>
        <v>#N/A</v>
      </c>
      <c r="C8" s="304" t="e">
        <f>VLOOKUP(S8,'DATOS %'!$C$37:$R$50,4,FALSE)</f>
        <v>#N/A</v>
      </c>
      <c r="D8" s="305" t="s">
        <v>3</v>
      </c>
      <c r="E8" s="304" t="e">
        <f>VLOOKUP(S8,'DATOS %'!$C$37:$R$50,5,FALSE)</f>
        <v>#N/A</v>
      </c>
      <c r="F8" s="306" t="s">
        <v>3</v>
      </c>
      <c r="G8" s="304" t="e">
        <f>VLOOKUP(S8,'DATOS %'!$C$37:$R$50,6,FALSE)</f>
        <v>#N/A</v>
      </c>
      <c r="H8" s="306" t="s">
        <v>3</v>
      </c>
      <c r="I8" s="304" t="e">
        <f>VLOOKUP(S8,'DATOS %'!$C$37:$R$50,7,FALSE)</f>
        <v>#N/A</v>
      </c>
      <c r="J8" s="306" t="s">
        <v>3</v>
      </c>
      <c r="K8" s="787" t="e">
        <f>VLOOKUP(S8,'DATOS %'!$C$37:$R$50,16,FALSE)</f>
        <v>#N/A</v>
      </c>
      <c r="L8" s="306" t="s">
        <v>3</v>
      </c>
      <c r="M8" s="298" t="e">
        <f t="shared" si="0"/>
        <v>#N/A</v>
      </c>
      <c r="N8" s="306" t="s">
        <v>3</v>
      </c>
      <c r="O8" s="307" t="e">
        <f>VLOOKUP(S8,'DATOS %'!$C$37:$R$50,8,FALSE)</f>
        <v>#N/A</v>
      </c>
      <c r="P8" s="299" t="e">
        <f>VLOOKUP(S8,'DATOS %'!$C$37:$R$50,9,FALSE)</f>
        <v>#N/A</v>
      </c>
      <c r="Q8" s="271"/>
      <c r="R8" s="111"/>
      <c r="S8" s="308"/>
    </row>
    <row r="9" spans="1:19" s="21" customFormat="1" ht="30" customHeight="1" x14ac:dyDescent="0.25">
      <c r="A9" s="1735"/>
      <c r="B9" s="303" t="e">
        <f>VLOOKUP(S9,'DATOS %'!$C$37:$R$48,3,FALSE)</f>
        <v>#N/A</v>
      </c>
      <c r="C9" s="304" t="e">
        <f>VLOOKUP(S9,'DATOS %'!$C$37:$R$50,4,FALSE)</f>
        <v>#N/A</v>
      </c>
      <c r="D9" s="305" t="s">
        <v>3</v>
      </c>
      <c r="E9" s="304" t="e">
        <f>VLOOKUP(S9,'DATOS %'!$C$37:$R$50,5,FALSE)</f>
        <v>#N/A</v>
      </c>
      <c r="F9" s="306" t="s">
        <v>3</v>
      </c>
      <c r="G9" s="304" t="e">
        <f>VLOOKUP(S9,'DATOS %'!$C$37:$R$50,6,FALSE)</f>
        <v>#N/A</v>
      </c>
      <c r="H9" s="306" t="s">
        <v>3</v>
      </c>
      <c r="I9" s="304" t="e">
        <f>VLOOKUP(S9,'DATOS %'!$C$37:$R$50,7,FALSE)</f>
        <v>#N/A</v>
      </c>
      <c r="J9" s="306" t="s">
        <v>3</v>
      </c>
      <c r="K9" s="787" t="e">
        <f>VLOOKUP(S9,'DATOS %'!$C$37:$R$50,16,FALSE)</f>
        <v>#N/A</v>
      </c>
      <c r="L9" s="306" t="s">
        <v>3</v>
      </c>
      <c r="M9" s="298" t="e">
        <f t="shared" si="0"/>
        <v>#N/A</v>
      </c>
      <c r="N9" s="306" t="s">
        <v>3</v>
      </c>
      <c r="O9" s="307" t="e">
        <f>VLOOKUP(S9,'DATOS %'!$C$37:$R$50,8,FALSE)</f>
        <v>#N/A</v>
      </c>
      <c r="P9" s="299" t="e">
        <f>VLOOKUP(S9,'DATOS %'!$C$37:$R$50,9,FALSE)</f>
        <v>#N/A</v>
      </c>
      <c r="Q9" s="309"/>
      <c r="R9" s="310"/>
      <c r="S9" s="311"/>
    </row>
    <row r="10" spans="1:19" s="21" customFormat="1" ht="30" customHeight="1" x14ac:dyDescent="0.25">
      <c r="A10" s="1735"/>
      <c r="B10" s="303" t="e">
        <f>VLOOKUP(S10,'DATOS %'!$C$37:$R$48,3,FALSE)</f>
        <v>#N/A</v>
      </c>
      <c r="C10" s="304" t="e">
        <f>VLOOKUP(S10,'DATOS %'!$C$37:$R$50,4,FALSE)</f>
        <v>#N/A</v>
      </c>
      <c r="D10" s="305" t="s">
        <v>3</v>
      </c>
      <c r="E10" s="304" t="e">
        <f>VLOOKUP(S10,'DATOS %'!$C$37:$R$50,5,FALSE)</f>
        <v>#N/A</v>
      </c>
      <c r="F10" s="306" t="s">
        <v>213</v>
      </c>
      <c r="G10" s="304" t="e">
        <f>VLOOKUP(S10,'DATOS %'!$C$37:$R$50,6,FALSE)</f>
        <v>#N/A</v>
      </c>
      <c r="H10" s="306" t="s">
        <v>3</v>
      </c>
      <c r="I10" s="312" t="e">
        <f>VLOOKUP(S10,'DATOS %'!$C$37:$R$50,7,FALSE)</f>
        <v>#N/A</v>
      </c>
      <c r="J10" s="306" t="s">
        <v>3</v>
      </c>
      <c r="K10" s="787" t="e">
        <f>VLOOKUP(S10,'DATOS %'!$C$37:$R$50,16,FALSE)</f>
        <v>#N/A</v>
      </c>
      <c r="L10" s="306" t="s">
        <v>3</v>
      </c>
      <c r="M10" s="298" t="e">
        <f t="shared" si="0"/>
        <v>#N/A</v>
      </c>
      <c r="N10" s="306" t="s">
        <v>3</v>
      </c>
      <c r="O10" s="307" t="e">
        <f>VLOOKUP(S10,'DATOS %'!$C$37:$R$50,8,FALSE)</f>
        <v>#N/A</v>
      </c>
      <c r="P10" s="299" t="e">
        <f>VLOOKUP(S10,'DATOS %'!$C$37:$R$50,9,FALSE)</f>
        <v>#N/A</v>
      </c>
      <c r="Q10" s="309"/>
      <c r="R10" s="111"/>
      <c r="S10" s="311"/>
    </row>
    <row r="11" spans="1:19" s="285" customFormat="1" ht="30" customHeight="1" x14ac:dyDescent="0.25">
      <c r="A11" s="1735"/>
      <c r="B11" s="303" t="e">
        <f>VLOOKUP(S11,'DATOS %'!$C$37:$R$50,3,FALSE)</f>
        <v>#N/A</v>
      </c>
      <c r="C11" s="304" t="e">
        <f>VLOOKUP(S11,'DATOS %'!$C$37:$R$50,4,FALSE)</f>
        <v>#N/A</v>
      </c>
      <c r="D11" s="305" t="s">
        <v>3</v>
      </c>
      <c r="E11" s="304" t="e">
        <f>VLOOKUP(S11,'DATOS %'!$C$37:$R$50,5,FALSE)</f>
        <v>#N/A</v>
      </c>
      <c r="F11" s="306" t="s">
        <v>213</v>
      </c>
      <c r="G11" s="304" t="e">
        <f>VLOOKUP(S11,'DATOS %'!$C$37:$R$50,6,FALSE)</f>
        <v>#N/A</v>
      </c>
      <c r="H11" s="306" t="s">
        <v>3</v>
      </c>
      <c r="I11" s="304" t="e">
        <f>VLOOKUP(S11,'DATOS %'!$C$37:$R$50,7,FALSE)</f>
        <v>#N/A</v>
      </c>
      <c r="J11" s="306" t="s">
        <v>3</v>
      </c>
      <c r="K11" s="787" t="e">
        <f>VLOOKUP(S11,'DATOS %'!$C$37:$R$50,16,FALSE)</f>
        <v>#N/A</v>
      </c>
      <c r="L11" s="306" t="s">
        <v>3</v>
      </c>
      <c r="M11" s="298" t="e">
        <f t="shared" si="0"/>
        <v>#N/A</v>
      </c>
      <c r="N11" s="306" t="s">
        <v>3</v>
      </c>
      <c r="O11" s="307" t="e">
        <f>VLOOKUP(S11,'DATOS %'!$C$37:$R$50,8,FALSE)</f>
        <v>#N/A</v>
      </c>
      <c r="P11" s="299" t="e">
        <f>VLOOKUP(S11,'DATOS %'!$C$37:$R$50,9,FALSE)</f>
        <v>#N/A</v>
      </c>
      <c r="Q11" s="309"/>
      <c r="R11" s="313"/>
      <c r="S11" s="311"/>
    </row>
    <row r="12" spans="1:19" s="285" customFormat="1" ht="30" customHeight="1" thickBot="1" x14ac:dyDescent="0.3">
      <c r="A12" s="1736"/>
      <c r="B12" s="303" t="e">
        <f>VLOOKUP(S12,'DATOS %'!$C$37:$R$50,3,FALSE)</f>
        <v>#N/A</v>
      </c>
      <c r="C12" s="304" t="e">
        <f>VLOOKUP(S12,'DATOS %'!$C$37:$R$50,4,FALSE)</f>
        <v>#N/A</v>
      </c>
      <c r="D12" s="305" t="s">
        <v>3</v>
      </c>
      <c r="E12" s="304" t="e">
        <f>VLOOKUP(S12,'DATOS %'!$C$37:$R$50,5,FALSE)</f>
        <v>#N/A</v>
      </c>
      <c r="F12" s="306" t="s">
        <v>213</v>
      </c>
      <c r="G12" s="304" t="e">
        <f>VLOOKUP(S12,'DATOS %'!$C$37:$R$50,6,FALSE)</f>
        <v>#N/A</v>
      </c>
      <c r="H12" s="306" t="s">
        <v>3</v>
      </c>
      <c r="I12" s="304" t="e">
        <f>VLOOKUP(S12,'DATOS %'!$C$37:$R$50,7,FALSE)</f>
        <v>#N/A</v>
      </c>
      <c r="J12" s="306" t="s">
        <v>3</v>
      </c>
      <c r="K12" s="787" t="e">
        <f>VLOOKUP(S12,'DATOS %'!$C$37:$R$50,16,FALSE)</f>
        <v>#N/A</v>
      </c>
      <c r="L12" s="306" t="s">
        <v>3</v>
      </c>
      <c r="M12" s="298" t="e">
        <f t="shared" si="0"/>
        <v>#N/A</v>
      </c>
      <c r="N12" s="306" t="s">
        <v>3</v>
      </c>
      <c r="O12" s="307" t="e">
        <f>VLOOKUP(S12,'DATOS %'!$C$37:$R$50,8,FALSE)</f>
        <v>#N/A</v>
      </c>
      <c r="P12" s="299" t="e">
        <f>VLOOKUP(S12,'DATOS %'!$C$37:$R$50,9,FALSE)</f>
        <v>#N/A</v>
      </c>
      <c r="Q12" s="309"/>
      <c r="R12" s="313"/>
      <c r="S12" s="314"/>
    </row>
    <row r="13" spans="1:19" s="285" customFormat="1" ht="30" customHeight="1" x14ac:dyDescent="0.25">
      <c r="A13" s="1734" t="s">
        <v>57</v>
      </c>
      <c r="B13" s="303" t="e">
        <f>VLOOKUP(S13,'DATOS %'!$C$37:$R$50,3,FALSE)</f>
        <v>#N/A</v>
      </c>
      <c r="C13" s="304" t="e">
        <f>VLOOKUP(S13,'DATOS %'!$C$37:$R$50,4,FALSE)</f>
        <v>#N/A</v>
      </c>
      <c r="D13" s="305" t="s">
        <v>3</v>
      </c>
      <c r="E13" s="304" t="e">
        <f>VLOOKUP(S13,'DATOS %'!$C$37:$R$50,5,FALSE)</f>
        <v>#N/A</v>
      </c>
      <c r="F13" s="306" t="s">
        <v>3</v>
      </c>
      <c r="G13" s="304" t="e">
        <f>VLOOKUP(S13,'DATOS %'!$C$37:$R$50,6,FALSE)</f>
        <v>#N/A</v>
      </c>
      <c r="H13" s="306" t="s">
        <v>3</v>
      </c>
      <c r="I13" s="304" t="e">
        <f>VLOOKUP(S13,'DATOS %'!$C$37:$R$50,7,FALSE)</f>
        <v>#N/A</v>
      </c>
      <c r="J13" s="306" t="s">
        <v>3</v>
      </c>
      <c r="K13" s="787" t="e">
        <f>VLOOKUP(S13,'DATOS %'!$C$37:$R$50,16,FALSE)</f>
        <v>#N/A</v>
      </c>
      <c r="L13" s="306" t="s">
        <v>3</v>
      </c>
      <c r="M13" s="298" t="e">
        <f t="shared" si="0"/>
        <v>#N/A</v>
      </c>
      <c r="N13" s="306" t="s">
        <v>3</v>
      </c>
      <c r="O13" s="307" t="e">
        <f>VLOOKUP(S13,'DATOS %'!$C$37:$R$50,8,FALSE)</f>
        <v>#N/A</v>
      </c>
      <c r="P13" s="299" t="e">
        <f>VLOOKUP(S13,'DATOS %'!$C$37:$R$50,9,FALSE)</f>
        <v>#N/A</v>
      </c>
      <c r="Q13" s="309"/>
      <c r="R13" s="111"/>
      <c r="S13" s="308"/>
    </row>
    <row r="14" spans="1:19" s="285" customFormat="1" ht="30" customHeight="1" x14ac:dyDescent="0.25">
      <c r="A14" s="1735"/>
      <c r="B14" s="303" t="e">
        <f>VLOOKUP(S14,'DATOS %'!$C$39:$R$48,3,FALSE)</f>
        <v>#N/A</v>
      </c>
      <c r="C14" s="304" t="e">
        <f>VLOOKUP(S14,'DATOS %'!$C$37:$R$50,4,FALSE)</f>
        <v>#N/A</v>
      </c>
      <c r="D14" s="305" t="s">
        <v>3</v>
      </c>
      <c r="E14" s="304" t="e">
        <f>VLOOKUP(S14,'DATOS %'!$C$37:$R$50,5,FALSE)</f>
        <v>#N/A</v>
      </c>
      <c r="F14" s="306" t="s">
        <v>3</v>
      </c>
      <c r="G14" s="304" t="e">
        <f>VLOOKUP(S14,'DATOS %'!$C$37:$R$50,6,FALSE)</f>
        <v>#N/A</v>
      </c>
      <c r="H14" s="306" t="s">
        <v>3</v>
      </c>
      <c r="I14" s="304" t="e">
        <f>VLOOKUP(S14,'DATOS %'!$C$37:$R$50,7,FALSE)</f>
        <v>#N/A</v>
      </c>
      <c r="J14" s="306" t="s">
        <v>3</v>
      </c>
      <c r="K14" s="787" t="e">
        <f>VLOOKUP(S14,'DATOS %'!$C$37:$R$50,16,FALSE)</f>
        <v>#N/A</v>
      </c>
      <c r="L14" s="306" t="s">
        <v>3</v>
      </c>
      <c r="M14" s="298" t="e">
        <f t="shared" si="0"/>
        <v>#N/A</v>
      </c>
      <c r="N14" s="306" t="s">
        <v>3</v>
      </c>
      <c r="O14" s="307" t="e">
        <f>VLOOKUP(S14,'DATOS %'!$C$37:$R$50,8,FALSE)</f>
        <v>#N/A</v>
      </c>
      <c r="P14" s="299" t="e">
        <f>VLOOKUP(S14,'DATOS %'!$C$37:$R$50,9,FALSE)</f>
        <v>#N/A</v>
      </c>
      <c r="Q14" s="309"/>
      <c r="R14" s="111"/>
      <c r="S14" s="311"/>
    </row>
    <row r="15" spans="1:19" s="285" customFormat="1" ht="30" customHeight="1" x14ac:dyDescent="0.25">
      <c r="A15" s="1735"/>
      <c r="B15" s="303" t="e">
        <f>VLOOKUP(S15,'DATOS %'!$C$39:$R$48,3,FALSE)</f>
        <v>#N/A</v>
      </c>
      <c r="C15" s="304" t="e">
        <f>VLOOKUP(S15,'DATOS %'!$C$37:$R$50,4,FALSE)</f>
        <v>#N/A</v>
      </c>
      <c r="D15" s="305" t="s">
        <v>3</v>
      </c>
      <c r="E15" s="304" t="e">
        <f>VLOOKUP(S15,'DATOS %'!$C$37:$R$50,5,FALSE)</f>
        <v>#N/A</v>
      </c>
      <c r="F15" s="306" t="s">
        <v>3</v>
      </c>
      <c r="G15" s="304" t="e">
        <f>VLOOKUP(S15,'DATOS %'!$C$37:$R$50,6,FALSE)</f>
        <v>#N/A</v>
      </c>
      <c r="H15" s="306" t="s">
        <v>3</v>
      </c>
      <c r="I15" s="304" t="e">
        <f>VLOOKUP(S15,'DATOS %'!$C$37:$R$50,7,FALSE)</f>
        <v>#N/A</v>
      </c>
      <c r="J15" s="306" t="s">
        <v>3</v>
      </c>
      <c r="K15" s="787" t="e">
        <f>VLOOKUP(S15,'DATOS %'!$C$37:$R$50,16,FALSE)</f>
        <v>#N/A</v>
      </c>
      <c r="L15" s="306" t="s">
        <v>3</v>
      </c>
      <c r="M15" s="298" t="e">
        <f t="shared" si="0"/>
        <v>#N/A</v>
      </c>
      <c r="N15" s="306" t="s">
        <v>3</v>
      </c>
      <c r="O15" s="307" t="e">
        <f>VLOOKUP(S15,'DATOS %'!$C$37:$R$50,8,FALSE)</f>
        <v>#N/A</v>
      </c>
      <c r="P15" s="299" t="e">
        <f>VLOOKUP(S15,'DATOS %'!$C$37:$R$50,9,FALSE)</f>
        <v>#N/A</v>
      </c>
      <c r="Q15" s="309"/>
      <c r="R15" s="111"/>
      <c r="S15" s="311"/>
    </row>
    <row r="16" spans="1:19" s="285" customFormat="1" ht="30" customHeight="1" x14ac:dyDescent="0.25">
      <c r="A16" s="1735"/>
      <c r="B16" s="303" t="e">
        <f>VLOOKUP(S16,'DATOS %'!$C$37:$R$50,3,FALSE)</f>
        <v>#N/A</v>
      </c>
      <c r="C16" s="304" t="e">
        <f>VLOOKUP(S16,'DATOS %'!$C$37:$R$50,4,FALSE)</f>
        <v>#N/A</v>
      </c>
      <c r="D16" s="305" t="s">
        <v>3</v>
      </c>
      <c r="E16" s="304" t="e">
        <f>VLOOKUP(S16,'DATOS %'!$C$37:$R$50,5,FALSE)</f>
        <v>#N/A</v>
      </c>
      <c r="F16" s="306" t="s">
        <v>3</v>
      </c>
      <c r="G16" s="304" t="e">
        <f>VLOOKUP(S16,'DATOS %'!$C$37:$R$50,6,FALSE)</f>
        <v>#N/A</v>
      </c>
      <c r="H16" s="306" t="s">
        <v>3</v>
      </c>
      <c r="I16" s="315" t="e">
        <f>VLOOKUP(S16,'DATOS %'!$C$37:$R$50,7,FALSE)</f>
        <v>#N/A</v>
      </c>
      <c r="J16" s="306" t="s">
        <v>3</v>
      </c>
      <c r="K16" s="787" t="e">
        <f>VLOOKUP(S16,'DATOS %'!$C$37:$R$50,16,FALSE)</f>
        <v>#N/A</v>
      </c>
      <c r="L16" s="306" t="s">
        <v>3</v>
      </c>
      <c r="M16" s="298" t="e">
        <f t="shared" si="0"/>
        <v>#N/A</v>
      </c>
      <c r="N16" s="306" t="s">
        <v>3</v>
      </c>
      <c r="O16" s="307" t="e">
        <f>VLOOKUP(S16,'DATOS %'!$C$37:$R$50,8,FALSE)</f>
        <v>#N/A</v>
      </c>
      <c r="P16" s="299" t="e">
        <f>VLOOKUP(S16,'DATOS %'!$C$37:$R$50,9,FALSE)</f>
        <v>#N/A</v>
      </c>
      <c r="Q16" s="309"/>
      <c r="R16" s="313"/>
      <c r="S16" s="311"/>
    </row>
    <row r="17" spans="1:20" s="285" customFormat="1" ht="30" customHeight="1" thickBot="1" x14ac:dyDescent="0.3">
      <c r="A17" s="1736"/>
      <c r="B17" s="303" t="e">
        <f>VLOOKUP(S17,'DATOS %'!$C$37:$R$50,3,FALSE)</f>
        <v>#N/A</v>
      </c>
      <c r="C17" s="304" t="e">
        <f>VLOOKUP(S17,'DATOS %'!$C$37:$R$50,4,FALSE)</f>
        <v>#N/A</v>
      </c>
      <c r="D17" s="305" t="s">
        <v>3</v>
      </c>
      <c r="E17" s="304" t="e">
        <f>VLOOKUP(S17,'DATOS %'!$C$37:$R$50,5,FALSE)</f>
        <v>#N/A</v>
      </c>
      <c r="F17" s="306" t="s">
        <v>3</v>
      </c>
      <c r="G17" s="304" t="e">
        <f>VLOOKUP(S17,'DATOS %'!$C$37:$R$50,6,FALSE)</f>
        <v>#N/A</v>
      </c>
      <c r="H17" s="306" t="s">
        <v>3</v>
      </c>
      <c r="I17" s="315" t="e">
        <f>VLOOKUP(S17,'DATOS %'!$C$37:$R$50,7,FALSE)</f>
        <v>#N/A</v>
      </c>
      <c r="J17" s="306" t="s">
        <v>3</v>
      </c>
      <c r="K17" s="787" t="e">
        <f>VLOOKUP(S17,'DATOS %'!$C$37:$R$50,16,FALSE)</f>
        <v>#N/A</v>
      </c>
      <c r="L17" s="306" t="s">
        <v>3</v>
      </c>
      <c r="M17" s="298" t="e">
        <f t="shared" si="0"/>
        <v>#N/A</v>
      </c>
      <c r="N17" s="306" t="s">
        <v>3</v>
      </c>
      <c r="O17" s="307" t="e">
        <f>VLOOKUP(S17,'DATOS %'!$C$37:$R$50,8,FALSE)</f>
        <v>#N/A</v>
      </c>
      <c r="P17" s="299" t="e">
        <f>VLOOKUP(S17,'DATOS %'!$C$37:$R$50,9,FALSE)</f>
        <v>#N/A</v>
      </c>
      <c r="Q17" s="309"/>
      <c r="R17" s="313"/>
      <c r="S17" s="314"/>
    </row>
    <row r="18" spans="1:20" s="285" customFormat="1" ht="81" customHeight="1" thickBot="1" x14ac:dyDescent="0.3">
      <c r="A18" s="316" t="s">
        <v>161</v>
      </c>
      <c r="B18" s="317" t="e">
        <f>VLOOKUP(S18,'DATOS %'!$C$112:$W$118,3,FALSE)</f>
        <v>#N/A</v>
      </c>
      <c r="C18" s="315" t="e">
        <f>VLOOKUP(S18,'DATOS %'!$C$112:$W$118,4,FALSE)</f>
        <v>#N/A</v>
      </c>
      <c r="D18" s="305" t="s">
        <v>4</v>
      </c>
      <c r="E18" s="315" t="e">
        <f>VLOOKUP(S18,'DATOS %'!$C$112:$W$118,5,FALSE)</f>
        <v>#N/A</v>
      </c>
      <c r="F18" s="305" t="s">
        <v>4</v>
      </c>
      <c r="G18" s="315" t="e">
        <f>VLOOKUP(S18,'DATOS %'!$C$112:$W$118,6,FALSE)</f>
        <v>#N/A</v>
      </c>
      <c r="H18" s="305" t="s">
        <v>4</v>
      </c>
      <c r="I18" s="315" t="e">
        <f>VLOOKUP(S18,'DATOS %'!$C$112:$W$118,7,FALSE)</f>
        <v>#N/A</v>
      </c>
      <c r="J18" s="318" t="s">
        <v>4</v>
      </c>
      <c r="K18" s="788" t="e">
        <f>VLOOKUP(S18,'DATOS %'!$C$112:$W$118,21,FALSE)</f>
        <v>#N/A</v>
      </c>
      <c r="L18" s="305" t="s">
        <v>4</v>
      </c>
      <c r="M18" s="298" t="e">
        <f t="shared" si="0"/>
        <v>#N/A</v>
      </c>
      <c r="N18" s="305" t="s">
        <v>4</v>
      </c>
      <c r="O18" s="307" t="e">
        <f>VLOOKUP(S18,'DATOS %'!$C$112:$W$118,8,FALSE)</f>
        <v>#N/A</v>
      </c>
      <c r="P18" s="299" t="e">
        <f>VLOOKUP(S18,'DATOS %'!$C$112:$W$118,9,FALSE)</f>
        <v>#N/A</v>
      </c>
      <c r="Q18" s="319" t="s">
        <v>508</v>
      </c>
      <c r="R18" s="320" t="s">
        <v>509</v>
      </c>
      <c r="S18" s="321"/>
    </row>
    <row r="19" spans="1:20" s="324" customFormat="1" ht="30" customHeight="1" x14ac:dyDescent="0.25">
      <c r="A19" s="316" t="s">
        <v>162</v>
      </c>
      <c r="B19" s="1712" t="e">
        <f>VLOOKUP(S19,'DATOS %'!$C$121:$AA$128,3,FALSE)</f>
        <v>#N/A</v>
      </c>
      <c r="C19" s="1714" t="e">
        <f>VLOOKUP(S19,'DATOS %'!$C$121:$AA$128,4,FALSE)</f>
        <v>#N/A</v>
      </c>
      <c r="D19" s="1710" t="s">
        <v>4</v>
      </c>
      <c r="E19" s="1708" t="e">
        <f>VLOOKUP(S19,'DATOS %'!$C$121:$AA$128,5,FALSE)</f>
        <v>#N/A</v>
      </c>
      <c r="F19" s="1710" t="s">
        <v>4</v>
      </c>
      <c r="G19" s="1714" t="e">
        <f>VLOOKUP(S19,'DATOS %'!$C$121:$AA$128,6,FALSE)</f>
        <v>#N/A</v>
      </c>
      <c r="H19" s="1710" t="s">
        <v>4</v>
      </c>
      <c r="I19" s="1708" t="e">
        <f>VLOOKUP(S19,'DATOS %'!$C$121:$AA$128,7,FALSE)</f>
        <v>#N/A</v>
      </c>
      <c r="J19" s="1710" t="s">
        <v>4</v>
      </c>
      <c r="K19" s="1701" t="e">
        <f>VLOOKUP(S19,'DATOS %'!$C$121:$AA$128,25,FALSE)</f>
        <v>#N/A</v>
      </c>
      <c r="L19" s="1702" t="s">
        <v>4</v>
      </c>
      <c r="M19" s="1750" t="e">
        <f t="shared" si="0"/>
        <v>#N/A</v>
      </c>
      <c r="N19" s="1702" t="s">
        <v>4</v>
      </c>
      <c r="O19" s="1708" t="e">
        <f>VLOOKUP(S19,'DATOS %'!$C$121:$AA$128,8,FALSE)</f>
        <v>#N/A</v>
      </c>
      <c r="P19" s="1737" t="e">
        <f>VLOOKUP(S19,'DATOS %'!$C$121:$AA$128,9,FALSE)</f>
        <v>#N/A</v>
      </c>
      <c r="Q19" s="322" t="e">
        <f>VLOOKUP(S19,'DATOS %'!$C$121:$AA$128,12,FALSE)</f>
        <v>#N/A</v>
      </c>
      <c r="R19" s="323" t="e">
        <f>VLOOKUP(S19,'DATOS %'!$C$121:$AA$128,14,FALSE)</f>
        <v>#N/A</v>
      </c>
      <c r="S19" s="1725"/>
    </row>
    <row r="20" spans="1:20" s="21" customFormat="1" ht="30" customHeight="1" thickBot="1" x14ac:dyDescent="0.3">
      <c r="A20" s="325"/>
      <c r="B20" s="1713"/>
      <c r="C20" s="1715"/>
      <c r="D20" s="1711"/>
      <c r="E20" s="1709"/>
      <c r="F20" s="1711"/>
      <c r="G20" s="1715"/>
      <c r="H20" s="1711"/>
      <c r="I20" s="1709"/>
      <c r="J20" s="1711"/>
      <c r="K20" s="1701"/>
      <c r="L20" s="1703"/>
      <c r="M20" s="1751"/>
      <c r="N20" s="1703"/>
      <c r="O20" s="1709"/>
      <c r="P20" s="1738"/>
      <c r="Q20" s="326" t="e">
        <f>VLOOKUP(S19,'DATOS %'!$C$121:$AA$128,13,FALSE)</f>
        <v>#N/A</v>
      </c>
      <c r="R20" s="327" t="e">
        <f>VLOOKUP(S19,'DATOS %'!$C$121:$AA$128,15,FALSE)</f>
        <v>#N/A</v>
      </c>
      <c r="S20" s="1726"/>
    </row>
    <row r="21" spans="1:20" s="22" customFormat="1" ht="27.75" customHeight="1" thickBot="1" x14ac:dyDescent="0.3">
      <c r="A21" s="328" t="s">
        <v>365</v>
      </c>
      <c r="B21" s="317" t="e">
        <f>VLOOKUP(S21,'DATOS %'!$C$131:$K$132,3,FALSE)</f>
        <v>#N/A</v>
      </c>
      <c r="C21" s="307" t="e">
        <f>VLOOKUP(S21,'DATOS %'!$C$131:$K$132,4,FALSE)</f>
        <v>#N/A</v>
      </c>
      <c r="D21" s="305" t="s">
        <v>159</v>
      </c>
      <c r="E21" s="329" t="e">
        <f>VLOOKUP(S21,'DATOS %'!$C$131:$K$132,5,FALSE)</f>
        <v>#N/A</v>
      </c>
      <c r="F21" s="305" t="s">
        <v>159</v>
      </c>
      <c r="G21" s="330" t="e">
        <f>VLOOKUP(S21,'DATOS %'!$C$131:$K$132,6,FALSE)</f>
        <v>#N/A</v>
      </c>
      <c r="H21" s="305" t="s">
        <v>159</v>
      </c>
      <c r="I21" s="330" t="e">
        <f>VLOOKUP(S21,'DATOS %'!$C$131:$K$132,7,FALSE)</f>
        <v>#N/A</v>
      </c>
      <c r="J21" s="318" t="s">
        <v>159</v>
      </c>
      <c r="K21" s="540" t="e">
        <f>(I21/2)/SQRT(12)</f>
        <v>#N/A</v>
      </c>
      <c r="L21" s="305" t="s">
        <v>159</v>
      </c>
      <c r="M21" s="298" t="e">
        <f t="shared" ref="M21:M22" si="1">SQRT((I21/2)^2+(K21)^2)</f>
        <v>#N/A</v>
      </c>
      <c r="N21" s="332" t="s">
        <v>159</v>
      </c>
      <c r="O21" s="9" t="e">
        <f>VLOOKUP(S21,'DATOS %'!$C$131:$K$132,8,FALSE)</f>
        <v>#N/A</v>
      </c>
      <c r="P21" s="299" t="e">
        <f>VLOOKUP(S21,'DATOS %'!$C$131:$K$132,9,FALSE)</f>
        <v>#N/A</v>
      </c>
      <c r="Q21" s="333"/>
      <c r="R21" s="334"/>
      <c r="S21" s="302"/>
    </row>
    <row r="22" spans="1:20" s="21" customFormat="1" ht="30" customHeight="1" thickBot="1" x14ac:dyDescent="0.3">
      <c r="A22" s="335" t="s">
        <v>58</v>
      </c>
      <c r="B22" s="336" t="e">
        <f>VLOOKUP(S22,'DATOS %'!$C$137:$K$152,3,FALSE)</f>
        <v>#N/A</v>
      </c>
      <c r="C22" s="337" t="e">
        <f>VLOOKUP(S22,'DATOS %'!$C$137:$K$152,4,FALSE)</f>
        <v>#N/A</v>
      </c>
      <c r="D22" s="338" t="s">
        <v>147</v>
      </c>
      <c r="E22" s="339" t="e">
        <f>VLOOKUP(S22,'DATOS %'!$C$137:$K$152,5,FALSE)</f>
        <v>#N/A</v>
      </c>
      <c r="F22" s="338" t="s">
        <v>147</v>
      </c>
      <c r="G22" s="340" t="e">
        <f>VLOOKUP(S22,'DATOS %'!$C$137:$K$152,6,FALSE)</f>
        <v>#N/A</v>
      </c>
      <c r="H22" s="338" t="s">
        <v>147</v>
      </c>
      <c r="I22" s="341" t="e">
        <f>VLOOKUP(S22,'DATOS %'!$C$137:$K$152,7,FALSE)</f>
        <v>#N/A</v>
      </c>
      <c r="J22" s="338" t="s">
        <v>147</v>
      </c>
      <c r="K22" s="342" t="e">
        <f>(I22/2)/SQRT(12)</f>
        <v>#N/A</v>
      </c>
      <c r="L22" s="338" t="s">
        <v>147</v>
      </c>
      <c r="M22" s="343" t="e">
        <f t="shared" si="1"/>
        <v>#N/A</v>
      </c>
      <c r="N22" s="338" t="s">
        <v>147</v>
      </c>
      <c r="O22" s="337" t="e">
        <f>VLOOKUP(S22,'DATOS %'!$C$137:$K$152,8,FALSE)</f>
        <v>#N/A</v>
      </c>
      <c r="P22" s="344" t="e">
        <f>VLOOKUP(S22,'DATOS %'!$C$137:$K$152,9,FALSE)</f>
        <v>#N/A</v>
      </c>
      <c r="Q22" s="345"/>
      <c r="R22" s="346"/>
      <c r="S22" s="314"/>
    </row>
    <row r="23" spans="1:20" s="21" customFormat="1" ht="30" customHeight="1" thickBot="1" x14ac:dyDescent="0.3"/>
    <row r="24" spans="1:20" s="21" customFormat="1" ht="30" customHeight="1" thickBot="1" x14ac:dyDescent="0.3">
      <c r="A24" s="24"/>
      <c r="B24" s="1727" t="s">
        <v>59</v>
      </c>
      <c r="C24" s="1728"/>
      <c r="D24" s="1728"/>
      <c r="E24" s="1728"/>
      <c r="F24" s="1728"/>
      <c r="G24" s="1729"/>
      <c r="H24" s="22"/>
      <c r="I24" s="1727" t="s">
        <v>330</v>
      </c>
      <c r="J24" s="1728"/>
      <c r="K24" s="1728"/>
      <c r="L24" s="1728"/>
      <c r="M24" s="1728"/>
      <c r="N24" s="1728"/>
      <c r="O24" s="1728"/>
      <c r="P24" s="1728"/>
      <c r="Q24" s="1728"/>
      <c r="R24" s="1729"/>
    </row>
    <row r="25" spans="1:20" s="21" customFormat="1" ht="30" customHeight="1" thickBot="1" x14ac:dyDescent="0.3">
      <c r="A25" s="24"/>
      <c r="B25" s="268" t="s">
        <v>60</v>
      </c>
      <c r="C25" s="347"/>
      <c r="D25" s="1720" t="s">
        <v>1</v>
      </c>
      <c r="E25" s="1659"/>
      <c r="F25" s="1721" t="s">
        <v>0</v>
      </c>
      <c r="G25" s="1722"/>
      <c r="H25" s="22"/>
      <c r="I25" s="1723" t="s">
        <v>54</v>
      </c>
      <c r="J25" s="1704" t="s">
        <v>40</v>
      </c>
      <c r="K25" s="1704" t="s">
        <v>41</v>
      </c>
      <c r="L25" s="1704" t="s">
        <v>450</v>
      </c>
      <c r="M25" s="1706" t="s">
        <v>61</v>
      </c>
      <c r="N25" s="22"/>
      <c r="O25" s="1723" t="s">
        <v>62</v>
      </c>
      <c r="P25" s="1723" t="s">
        <v>63</v>
      </c>
      <c r="Q25" s="1723" t="s">
        <v>64</v>
      </c>
      <c r="R25" s="1732" t="s">
        <v>305</v>
      </c>
    </row>
    <row r="26" spans="1:20" s="21" customFormat="1" ht="30" customHeight="1" thickBot="1" x14ac:dyDescent="0.3">
      <c r="A26" s="289"/>
      <c r="B26" s="1654" t="s">
        <v>35</v>
      </c>
      <c r="C26" s="1655"/>
      <c r="D26" s="1730" t="e">
        <f>VLOOKUP($A$26,'DATOS %'!$B$24:$O$26,2,FALSE)</f>
        <v>#N/A</v>
      </c>
      <c r="E26" s="1731"/>
      <c r="F26" s="1741" t="e">
        <f>VLOOKUP($H$26,'DATOS %'!$B$14:$N$16,2,FALSE)</f>
        <v>#N/A</v>
      </c>
      <c r="G26" s="1742"/>
      <c r="H26" s="289"/>
      <c r="I26" s="1724"/>
      <c r="J26" s="1705"/>
      <c r="K26" s="1705"/>
      <c r="L26" s="1705"/>
      <c r="M26" s="1707"/>
      <c r="N26" s="22"/>
      <c r="O26" s="1724"/>
      <c r="P26" s="1724"/>
      <c r="Q26" s="1724"/>
      <c r="R26" s="1733"/>
      <c r="T26" s="810"/>
    </row>
    <row r="27" spans="1:20" s="21" customFormat="1" ht="30" customHeight="1" thickBot="1" x14ac:dyDescent="0.3">
      <c r="A27" s="24"/>
      <c r="B27" s="1654" t="s">
        <v>36</v>
      </c>
      <c r="C27" s="1655"/>
      <c r="D27" s="1739" t="e">
        <f>VLOOKUP($A$26,'DATOS %'!$B$24:$O$26,3,FALSE)</f>
        <v>#N/A</v>
      </c>
      <c r="E27" s="1740"/>
      <c r="F27" s="1716" t="e">
        <f>VLOOKUP($H$26,'DATOS %'!$B$14:$N$16,3,FALSE)</f>
        <v>#N/A</v>
      </c>
      <c r="G27" s="1717"/>
      <c r="H27" s="22"/>
      <c r="I27" s="153" t="s">
        <v>67</v>
      </c>
      <c r="J27" s="424">
        <v>3.785412</v>
      </c>
      <c r="K27" s="424">
        <v>3785.4110000000001</v>
      </c>
      <c r="L27" s="424">
        <v>231.00006956708521</v>
      </c>
      <c r="M27" s="790">
        <v>5</v>
      </c>
      <c r="N27" s="350"/>
      <c r="O27" s="789" t="e">
        <f>O30/K27</f>
        <v>#N/A</v>
      </c>
      <c r="P27" s="214" t="e">
        <f>P30/K27</f>
        <v>#N/A</v>
      </c>
      <c r="Q27" s="793" t="e">
        <f>P27-O27</f>
        <v>#N/A</v>
      </c>
      <c r="R27" s="794" t="e">
        <f>ABS(Q27)</f>
        <v>#N/A</v>
      </c>
    </row>
    <row r="28" spans="1:20" s="21" customFormat="1" ht="30" customHeight="1" thickBot="1" x14ac:dyDescent="0.3">
      <c r="A28" s="24"/>
      <c r="B28" s="1654" t="s">
        <v>25</v>
      </c>
      <c r="C28" s="1655"/>
      <c r="D28" s="1739" t="e">
        <f>VLOOKUP($A$26,'DATOS %'!$B$24:$O$26,4,FALSE)</f>
        <v>#N/A</v>
      </c>
      <c r="E28" s="1740"/>
      <c r="F28" s="1718" t="e">
        <f>VLOOKUP($H$26,'DATOS %'!$B$14:$N$16,4,FALSE)</f>
        <v>#N/A</v>
      </c>
      <c r="G28" s="1719"/>
      <c r="H28" s="22"/>
      <c r="I28" s="543" t="s">
        <v>210</v>
      </c>
      <c r="J28" s="348">
        <v>1.6387059999999998E-2</v>
      </c>
      <c r="K28" s="348">
        <v>16.387059999999998</v>
      </c>
      <c r="L28" s="348">
        <v>1</v>
      </c>
      <c r="M28" s="349">
        <v>1155.0000427166315</v>
      </c>
      <c r="N28" s="22"/>
      <c r="O28" s="355" t="e">
        <f>O30/K28</f>
        <v>#N/A</v>
      </c>
      <c r="P28" s="509" t="e">
        <f>(P30*L28)/K28</f>
        <v>#N/A</v>
      </c>
      <c r="Q28" s="795" t="e">
        <f>P28-O28</f>
        <v>#N/A</v>
      </c>
      <c r="R28" s="796" t="e">
        <f>ABS(Q28)</f>
        <v>#N/A</v>
      </c>
    </row>
    <row r="29" spans="1:20" s="21" customFormat="1" ht="30" customHeight="1" thickBot="1" x14ac:dyDescent="0.3">
      <c r="A29" s="24"/>
      <c r="B29" s="1654" t="s">
        <v>70</v>
      </c>
      <c r="C29" s="1655"/>
      <c r="D29" s="359" t="e">
        <f>VLOOKUP($A$26,'DATOS %'!$B$24:$O$26,5,FALSE)</f>
        <v>#N/A</v>
      </c>
      <c r="E29" s="332" t="s">
        <v>3</v>
      </c>
      <c r="F29" s="332" t="e">
        <f>VLOOKUP($H$26,'DATOS %'!$B$14:$N$16,5,FALSE)</f>
        <v>#N/A</v>
      </c>
      <c r="G29" s="360" t="s">
        <v>3</v>
      </c>
      <c r="H29" s="22"/>
      <c r="I29" s="543" t="s">
        <v>22</v>
      </c>
      <c r="J29" s="348">
        <v>1</v>
      </c>
      <c r="K29" s="348">
        <v>1000</v>
      </c>
      <c r="L29" s="348">
        <v>1.6387059999999998E-2</v>
      </c>
      <c r="M29" s="349">
        <v>18.927054999999999</v>
      </c>
      <c r="N29" s="22"/>
      <c r="O29" s="361" t="e">
        <f>O30/K29</f>
        <v>#N/A</v>
      </c>
      <c r="P29" s="509" t="e">
        <f>(P30*J29)/K29</f>
        <v>#N/A</v>
      </c>
      <c r="Q29" s="795" t="e">
        <f>P29-O29</f>
        <v>#N/A</v>
      </c>
      <c r="R29" s="796" t="e">
        <f>ABS(Q29)</f>
        <v>#N/A</v>
      </c>
    </row>
    <row r="30" spans="1:20" s="21" customFormat="1" ht="30" customHeight="1" thickBot="1" x14ac:dyDescent="0.3">
      <c r="A30" s="24"/>
      <c r="B30" s="1654" t="s">
        <v>39</v>
      </c>
      <c r="C30" s="1655"/>
      <c r="D30" s="1002" t="e">
        <f>VLOOKUP($A$26,'DATOS %'!$B$24:$O$26,6,FALSE)</f>
        <v>#N/A</v>
      </c>
      <c r="E30" s="332" t="s">
        <v>9</v>
      </c>
      <c r="F30" s="332" t="e">
        <f>VLOOKUP($H$26,'DATOS %'!$B$14:$N$16,6,FALSE)</f>
        <v>#N/A</v>
      </c>
      <c r="G30" s="360" t="s">
        <v>9</v>
      </c>
      <c r="H30" s="22"/>
      <c r="I30" s="543" t="s">
        <v>23</v>
      </c>
      <c r="J30" s="135">
        <v>1E-3</v>
      </c>
      <c r="K30" s="348">
        <v>1</v>
      </c>
      <c r="L30" s="348">
        <v>16.387059999999998</v>
      </c>
      <c r="M30" s="791">
        <v>18927.055</v>
      </c>
      <c r="N30" s="22"/>
      <c r="O30" s="797" t="e">
        <f>C7</f>
        <v>#N/A</v>
      </c>
      <c r="P30" s="135" t="e">
        <f>H58</f>
        <v>#N/A</v>
      </c>
      <c r="Q30" s="795" t="e">
        <f>P30-O30</f>
        <v>#N/A</v>
      </c>
      <c r="R30" s="796" t="e">
        <f>ABS(Q30)</f>
        <v>#N/A</v>
      </c>
    </row>
    <row r="31" spans="1:20" s="21" customFormat="1" ht="30" customHeight="1" thickBot="1" x14ac:dyDescent="0.3">
      <c r="A31" s="24"/>
      <c r="B31" s="1654" t="s">
        <v>72</v>
      </c>
      <c r="C31" s="1655"/>
      <c r="D31" s="359" t="e">
        <f>VLOOKUP($A$26,'DATOS %'!$B$24:$O$26,7,FALSE)</f>
        <v>#N/A</v>
      </c>
      <c r="E31" s="332" t="s">
        <v>4</v>
      </c>
      <c r="F31" s="332" t="e">
        <f>VLOOKUP($H$26,'DATOS %'!$B$14:$N$16,7,FALSE)</f>
        <v>#N/A</v>
      </c>
      <c r="G31" s="360" t="s">
        <v>4</v>
      </c>
      <c r="H31" s="22"/>
      <c r="I31" s="78" t="s">
        <v>451</v>
      </c>
      <c r="J31" s="170">
        <v>1E-3</v>
      </c>
      <c r="K31" s="363">
        <v>1</v>
      </c>
      <c r="L31" s="363">
        <v>16.387059999999998</v>
      </c>
      <c r="M31" s="792">
        <v>18927.055</v>
      </c>
      <c r="N31" s="22"/>
      <c r="O31" s="798" t="e">
        <f>O30</f>
        <v>#N/A</v>
      </c>
      <c r="P31" s="170" t="e">
        <f>P30</f>
        <v>#N/A</v>
      </c>
      <c r="Q31" s="799" t="e">
        <f>P31-O31</f>
        <v>#N/A</v>
      </c>
      <c r="R31" s="800" t="e">
        <f>ABS(Q31)</f>
        <v>#N/A</v>
      </c>
      <c r="T31" s="366"/>
    </row>
    <row r="32" spans="1:20" s="21" customFormat="1" ht="30" customHeight="1" thickBot="1" x14ac:dyDescent="0.3">
      <c r="A32" s="24"/>
      <c r="B32" s="1654" t="s">
        <v>34</v>
      </c>
      <c r="C32" s="1655"/>
      <c r="D32" s="359" t="e">
        <f>VLOOKUP($A$26,'DATOS %'!$B$24:$O$26,8,FALSE)</f>
        <v>#N/A</v>
      </c>
      <c r="E32" s="332" t="s">
        <v>4</v>
      </c>
      <c r="F32" s="332" t="e">
        <f>VLOOKUP($H$26,'DATOS %'!$B$14:$N$16,8,FALSE)</f>
        <v>#N/A</v>
      </c>
      <c r="G32" s="360" t="s">
        <v>4</v>
      </c>
      <c r="H32" s="22"/>
      <c r="R32" s="24"/>
      <c r="T32" s="366"/>
    </row>
    <row r="33" spans="1:25" s="21" customFormat="1" ht="48" customHeight="1" thickBot="1" x14ac:dyDescent="0.3">
      <c r="A33" s="24"/>
      <c r="B33" s="1654" t="s">
        <v>369</v>
      </c>
      <c r="C33" s="1655"/>
      <c r="D33" s="359" t="e">
        <f>VLOOKUP($A$26,'DATOS %'!$B$24:$O$26,9,FALSE)</f>
        <v>#N/A</v>
      </c>
      <c r="E33" s="332" t="s">
        <v>452</v>
      </c>
      <c r="F33" s="332" t="e">
        <f>VLOOKUP($H$26,'DATOS %'!$B$14:$N$16,9,FALSE)</f>
        <v>#N/A</v>
      </c>
      <c r="G33" s="360" t="s">
        <v>452</v>
      </c>
      <c r="H33" s="24"/>
      <c r="I33" s="1641" t="s">
        <v>68</v>
      </c>
      <c r="J33" s="1642"/>
      <c r="K33" s="1229"/>
      <c r="L33" s="1228"/>
      <c r="N33" s="1643" t="s">
        <v>69</v>
      </c>
      <c r="O33" s="1644"/>
      <c r="P33" s="1229"/>
      <c r="Q33" s="1228"/>
      <c r="R33" s="367"/>
      <c r="T33" s="366"/>
    </row>
    <row r="34" spans="1:25" s="21" customFormat="1" ht="30" customHeight="1" thickBot="1" x14ac:dyDescent="0.3">
      <c r="A34" s="24"/>
      <c r="B34" s="1654" t="s">
        <v>75</v>
      </c>
      <c r="C34" s="1655"/>
      <c r="D34" s="359" t="e">
        <f>VLOOKUP($A$26,'DATOS %'!$B$24:$O$26,10,FALSE)</f>
        <v>#N/A</v>
      </c>
      <c r="E34" s="332" t="s">
        <v>13</v>
      </c>
      <c r="F34" s="332" t="e">
        <f>VLOOKUP($H$26,'DATOS %'!$B$14:$N$16,10,FALSE)</f>
        <v>#N/A</v>
      </c>
      <c r="G34" s="360" t="s">
        <v>13</v>
      </c>
      <c r="H34" s="22"/>
    </row>
    <row r="35" spans="1:25" s="21" customFormat="1" ht="54.75" customHeight="1" thickBot="1" x14ac:dyDescent="0.3">
      <c r="A35" s="24"/>
      <c r="B35" s="1654" t="s">
        <v>76</v>
      </c>
      <c r="C35" s="1655"/>
      <c r="D35" s="359" t="e">
        <f>VLOOKUP($A$26,'DATOS %'!$B$24:$O$26,11,FALSE)</f>
        <v>#N/A</v>
      </c>
      <c r="E35" s="332" t="s">
        <v>13</v>
      </c>
      <c r="F35" s="332" t="e">
        <f>VLOOKUP($H$26,'DATOS %'!$B$14:$N$16,11,FALSE)</f>
        <v>#N/A</v>
      </c>
      <c r="G35" s="360" t="s">
        <v>13</v>
      </c>
      <c r="H35" s="22"/>
      <c r="I35" s="1668" t="s">
        <v>453</v>
      </c>
      <c r="J35" s="1669"/>
      <c r="K35" s="1669"/>
      <c r="L35" s="1669"/>
      <c r="M35" s="1669"/>
      <c r="N35" s="1669"/>
      <c r="O35" s="1669"/>
      <c r="P35" s="1670"/>
      <c r="Q35" s="176" t="s">
        <v>281</v>
      </c>
    </row>
    <row r="36" spans="1:25" s="21" customFormat="1" ht="48" customHeight="1" thickBot="1" x14ac:dyDescent="0.3">
      <c r="A36" s="24"/>
      <c r="B36" s="1654" t="s">
        <v>502</v>
      </c>
      <c r="C36" s="1655"/>
      <c r="D36" s="359" t="e">
        <f>VLOOKUP($A$26,'DATOS %'!$B$24:$O$26,12,FALSE)</f>
        <v>#N/A</v>
      </c>
      <c r="E36" s="332" t="s">
        <v>452</v>
      </c>
      <c r="F36" s="332" t="e">
        <f>D36</f>
        <v>#N/A</v>
      </c>
      <c r="G36" s="360" t="s">
        <v>452</v>
      </c>
      <c r="H36" s="22"/>
      <c r="I36" s="1671" t="s">
        <v>71</v>
      </c>
      <c r="J36" s="1672"/>
      <c r="K36" s="1672"/>
      <c r="L36" s="1673" t="s">
        <v>19</v>
      </c>
      <c r="M36" s="1673"/>
      <c r="N36" s="1673"/>
      <c r="O36" s="819" t="s">
        <v>20</v>
      </c>
      <c r="P36" s="1051" t="s">
        <v>599</v>
      </c>
      <c r="Q36" s="976"/>
    </row>
    <row r="37" spans="1:25" s="21" customFormat="1" ht="41.1" customHeight="1" thickBot="1" x14ac:dyDescent="0.3">
      <c r="A37" s="24"/>
      <c r="B37" s="1656" t="s">
        <v>73</v>
      </c>
      <c r="C37" s="1657"/>
      <c r="D37" s="368" t="e">
        <f>K58</f>
        <v>#N/A</v>
      </c>
      <c r="E37" s="369" t="s">
        <v>452</v>
      </c>
      <c r="F37" s="370" t="e">
        <f>D37</f>
        <v>#N/A</v>
      </c>
      <c r="G37" s="371" t="s">
        <v>452</v>
      </c>
      <c r="H37" s="22"/>
      <c r="I37" s="1674" t="s">
        <v>295</v>
      </c>
      <c r="J37" s="1675"/>
      <c r="K37" s="821"/>
      <c r="L37" s="1675" t="s">
        <v>295</v>
      </c>
      <c r="M37" s="1675"/>
      <c r="N37" s="821"/>
      <c r="O37" s="1024" t="e">
        <f>AVERAGE(K37,N37)</f>
        <v>#DIV/0!</v>
      </c>
      <c r="P37" s="1055" t="e">
        <f>O37+((VLOOKUP($Q$36,'DATOS %'!$B$158:$O$164,9,FALSE))*O37+(VLOOKUP($Q$36,'DATOS %'!$B$158:$O$164,10,FALSE)))</f>
        <v>#DIV/0!</v>
      </c>
    </row>
    <row r="38" spans="1:25" s="21" customFormat="1" ht="41.1" customHeight="1" thickBot="1" x14ac:dyDescent="0.3">
      <c r="A38" s="24"/>
      <c r="B38" s="22"/>
      <c r="C38" s="22"/>
      <c r="D38" s="22"/>
      <c r="E38" s="22"/>
      <c r="F38" s="22"/>
      <c r="G38" s="22"/>
      <c r="H38" s="22"/>
      <c r="I38" s="1676" t="s">
        <v>448</v>
      </c>
      <c r="J38" s="1677"/>
      <c r="K38" s="11"/>
      <c r="L38" s="1677" t="s">
        <v>448</v>
      </c>
      <c r="M38" s="1677"/>
      <c r="N38" s="11"/>
      <c r="O38" s="1025" t="e">
        <f>AVERAGE(K38,N38)</f>
        <v>#DIV/0!</v>
      </c>
      <c r="P38" s="1056" t="e">
        <f>O38+((VLOOKUP($Q$36,'DATOS %'!$B$158:$O$164,11,FALSE))*O38+(VLOOKUP($Q$36,'DATOS %'!$B$158:$O$164,12,FALSE)))</f>
        <v>#DIV/0!</v>
      </c>
    </row>
    <row r="39" spans="1:25" s="21" customFormat="1" ht="41.1" customHeight="1" thickBot="1" x14ac:dyDescent="0.3">
      <c r="A39" s="24"/>
      <c r="B39" s="1658" t="s">
        <v>174</v>
      </c>
      <c r="C39" s="1659"/>
      <c r="D39" s="1660" t="e">
        <f>VLOOKUP(H39,'DATOS %'!P9:R13,2,FALSE)</f>
        <v>#N/A</v>
      </c>
      <c r="E39" s="1661"/>
      <c r="F39" s="1661"/>
      <c r="G39" s="1662"/>
      <c r="H39" s="973"/>
      <c r="I39" s="1678" t="s">
        <v>296</v>
      </c>
      <c r="J39" s="1679"/>
      <c r="K39" s="12"/>
      <c r="L39" s="1679" t="s">
        <v>296</v>
      </c>
      <c r="M39" s="1679"/>
      <c r="N39" s="12"/>
      <c r="O39" s="1026" t="e">
        <f>AVERAGE(K39,N39)</f>
        <v>#DIV/0!</v>
      </c>
      <c r="P39" s="1057" t="e">
        <f>O39+((VLOOKUP($Q$36,'DATOS %'!$B$158:$O$164,13,FALSE))*O39+(VLOOKUP($Q$36,'DATOS %'!$B$158:$O$164,14,FALSE)))</f>
        <v>#DIV/0!</v>
      </c>
    </row>
    <row r="40" spans="1:25" s="21" customFormat="1" ht="30" customHeight="1" thickBot="1" x14ac:dyDescent="0.3">
      <c r="A40" s="24"/>
      <c r="H40" s="22"/>
      <c r="I40" s="22"/>
    </row>
    <row r="41" spans="1:25" s="24" customFormat="1" ht="30" customHeight="1" thickBot="1" x14ac:dyDescent="0.3">
      <c r="B41" s="1649" t="s">
        <v>77</v>
      </c>
      <c r="C41" s="1650"/>
      <c r="D41" s="1650"/>
      <c r="E41" s="1650"/>
      <c r="F41" s="1650"/>
      <c r="G41" s="1650"/>
      <c r="H41" s="1647"/>
      <c r="I41" s="1650"/>
      <c r="J41" s="1650"/>
      <c r="K41" s="1650"/>
      <c r="L41" s="1650"/>
      <c r="M41" s="1650"/>
      <c r="N41" s="1651"/>
    </row>
    <row r="42" spans="1:25" s="22" customFormat="1" ht="27.75" customHeight="1" thickBot="1" x14ac:dyDescent="0.3">
      <c r="B42" s="1641" t="s">
        <v>433</v>
      </c>
      <c r="C42" s="1466"/>
      <c r="D42" s="1466"/>
      <c r="E42" s="1466"/>
      <c r="F42" s="1466"/>
      <c r="G42" s="1645"/>
      <c r="I42" s="1641" t="s">
        <v>434</v>
      </c>
      <c r="J42" s="1466"/>
      <c r="K42" s="1466"/>
      <c r="L42" s="1466"/>
      <c r="M42" s="1466"/>
      <c r="N42" s="1645"/>
      <c r="Q42" s="24"/>
      <c r="R42" s="24"/>
      <c r="S42" s="24"/>
      <c r="T42" s="24"/>
      <c r="U42" s="24"/>
      <c r="V42" s="24"/>
      <c r="W42" s="24"/>
      <c r="X42" s="24"/>
      <c r="Y42" s="24"/>
    </row>
    <row r="43" spans="1:25" s="21" customFormat="1" ht="59.25" customHeight="1" thickBot="1" x14ac:dyDescent="0.3">
      <c r="A43" s="973"/>
      <c r="B43" s="848" t="s">
        <v>78</v>
      </c>
      <c r="C43" s="847" t="s">
        <v>368</v>
      </c>
      <c r="D43" s="847" t="s">
        <v>367</v>
      </c>
      <c r="E43" s="847" t="s">
        <v>80</v>
      </c>
      <c r="F43" s="847" t="s">
        <v>81</v>
      </c>
      <c r="G43" s="96" t="s">
        <v>82</v>
      </c>
      <c r="H43" s="22"/>
      <c r="I43" s="848" t="s">
        <v>79</v>
      </c>
      <c r="J43" s="847" t="s">
        <v>366</v>
      </c>
      <c r="K43" s="847" t="s">
        <v>80</v>
      </c>
      <c r="L43" s="847" t="s">
        <v>81</v>
      </c>
      <c r="M43" s="847" t="s">
        <v>82</v>
      </c>
      <c r="N43" s="96" t="s">
        <v>405</v>
      </c>
      <c r="O43" s="976"/>
    </row>
    <row r="44" spans="1:25" s="21" customFormat="1" ht="30" customHeight="1" thickBot="1" x14ac:dyDescent="0.3">
      <c r="A44" s="24"/>
      <c r="B44" s="153">
        <v>1</v>
      </c>
      <c r="C44" s="977"/>
      <c r="D44" s="978" t="e">
        <f>C44+(VLOOKUP($A$43,'DATOS %'!$A$37:$N$50,13,FALSE))*C44+(VLOOKUP($A$43,'DATOS %'!$A$37:$N$50,14,FALSE))</f>
        <v>#N/A</v>
      </c>
      <c r="E44" s="979"/>
      <c r="F44" s="980"/>
      <c r="G44" s="981">
        <f>E44+F44</f>
        <v>0</v>
      </c>
      <c r="H44" s="22"/>
      <c r="I44" s="1183"/>
      <c r="J44" s="978" t="e">
        <f>I44+(VLOOKUP($O$43,'DATOS %'!$A$37:$N$50,13,FALSE))*I44+(VLOOKUP($O$43,'DATOS %'!$A$37:$N$50,14,FALSE))</f>
        <v>#N/A</v>
      </c>
      <c r="K44" s="982"/>
      <c r="L44" s="983"/>
      <c r="M44" s="984">
        <f>K44+L44</f>
        <v>0</v>
      </c>
      <c r="N44" s="985"/>
      <c r="O44" s="22"/>
    </row>
    <row r="45" spans="1:25" s="21" customFormat="1" ht="30" customHeight="1" thickBot="1" x14ac:dyDescent="0.3">
      <c r="A45" s="24"/>
      <c r="B45" s="849">
        <v>2</v>
      </c>
      <c r="C45" s="974"/>
      <c r="D45" s="389" t="e">
        <f>C45+(VLOOKUP($A$43,'DATOS %'!$A$37:$N$50,13,FALSE))*C45+(VLOOKUP($A$43,'DATOS %'!$A$37:$N$50,14,FALSE))</f>
        <v>#N/A</v>
      </c>
      <c r="E45" s="390"/>
      <c r="F45" s="391"/>
      <c r="G45" s="392">
        <f>E45+F45</f>
        <v>0</v>
      </c>
      <c r="H45" s="22"/>
      <c r="I45" s="393"/>
      <c r="J45" s="389" t="e">
        <f>I45+(VLOOKUP($O$43,'DATOS %'!$A$37:$N$50,13,FALSE))*I45+(VLOOKUP($O$43,'DATOS %'!$A$37:$N$50,14,FALSE))</f>
        <v>#N/A</v>
      </c>
      <c r="K45" s="394"/>
      <c r="L45" s="13"/>
      <c r="M45" s="850">
        <f>K45+L45</f>
        <v>0</v>
      </c>
      <c r="N45" s="395"/>
      <c r="O45" s="22"/>
      <c r="Q45" s="1665" t="s">
        <v>239</v>
      </c>
      <c r="R45" s="1666"/>
      <c r="S45" s="1666"/>
      <c r="T45" s="1666"/>
      <c r="U45" s="1666"/>
      <c r="V45" s="1666"/>
      <c r="W45" s="1666"/>
      <c r="X45" s="1666"/>
      <c r="Y45" s="1667"/>
    </row>
    <row r="46" spans="1:25" s="21" customFormat="1" ht="30" customHeight="1" thickBot="1" x14ac:dyDescent="0.3">
      <c r="A46" s="270" t="s">
        <v>83</v>
      </c>
      <c r="B46" s="849">
        <v>3</v>
      </c>
      <c r="C46" s="974"/>
      <c r="D46" s="389" t="e">
        <f>C46+(VLOOKUP($A$43,'DATOS %'!$A$37:$N$50,13,FALSE))*C46+(VLOOKUP($A$43,'DATOS %'!$A$37:$N$50,14,FALSE))</f>
        <v>#N/A</v>
      </c>
      <c r="E46" s="390"/>
      <c r="F46" s="391"/>
      <c r="G46" s="392">
        <f>E46+F46</f>
        <v>0</v>
      </c>
      <c r="H46" s="22"/>
      <c r="I46" s="393"/>
      <c r="J46" s="389" t="e">
        <f>I46+(VLOOKUP($O$43,'DATOS %'!$A$37:$N$50,13,FALSE))*I46+(VLOOKUP($O$43,'DATOS %'!$A$37:$N$50,14,FALSE))</f>
        <v>#N/A</v>
      </c>
      <c r="K46" s="394"/>
      <c r="L46" s="13"/>
      <c r="M46" s="850">
        <f>K46+L46</f>
        <v>0</v>
      </c>
      <c r="N46" s="395"/>
      <c r="O46" s="22"/>
      <c r="Q46" s="1046"/>
      <c r="R46" s="177"/>
      <c r="S46" s="177"/>
      <c r="T46" s="177"/>
      <c r="U46" s="177"/>
      <c r="V46" s="177"/>
      <c r="W46" s="177"/>
      <c r="X46" s="177"/>
      <c r="Y46" s="1047"/>
    </row>
    <row r="47" spans="1:25" s="21" customFormat="1" ht="33.75" customHeight="1" thickBot="1" x14ac:dyDescent="0.3">
      <c r="A47" s="24"/>
      <c r="B47" s="1652" t="s">
        <v>423</v>
      </c>
      <c r="C47" s="1653"/>
      <c r="D47" s="1653"/>
      <c r="E47" s="1653"/>
      <c r="F47" s="1653"/>
      <c r="G47" s="975" t="e">
        <f>AVERAGE(D44:D46)</f>
        <v>#N/A</v>
      </c>
      <c r="H47" s="22"/>
      <c r="I47" s="1652" t="s">
        <v>423</v>
      </c>
      <c r="J47" s="1653"/>
      <c r="K47" s="1653"/>
      <c r="L47" s="1653"/>
      <c r="M47" s="1653"/>
      <c r="N47" s="975" t="e">
        <f>AVERAGE(J44:J46)</f>
        <v>#N/A</v>
      </c>
      <c r="O47" s="22"/>
      <c r="Q47" s="1046"/>
      <c r="R47" s="177"/>
      <c r="S47" s="177"/>
      <c r="T47" s="177"/>
      <c r="U47" s="177"/>
      <c r="V47" s="177"/>
      <c r="W47" s="177"/>
      <c r="X47" s="177"/>
      <c r="Y47" s="1047"/>
    </row>
    <row r="48" spans="1:25" s="21" customFormat="1" ht="45" customHeight="1" thickBot="1" x14ac:dyDescent="0.3">
      <c r="A48" s="24"/>
      <c r="D48" s="409"/>
      <c r="O48" s="22"/>
      <c r="Q48" s="1048"/>
      <c r="R48" s="1049"/>
      <c r="S48" s="1049"/>
      <c r="T48" s="1049"/>
      <c r="U48" s="1049"/>
      <c r="V48" s="1049"/>
      <c r="W48" s="1049"/>
      <c r="X48" s="1049"/>
      <c r="Y48" s="1050"/>
    </row>
    <row r="49" spans="1:22" s="21" customFormat="1" ht="45" customHeight="1" x14ac:dyDescent="0.25">
      <c r="A49" s="24"/>
      <c r="B49" s="22"/>
    </row>
    <row r="50" spans="1:22" s="21" customFormat="1" ht="30" customHeight="1" x14ac:dyDescent="0.25">
      <c r="A50" s="24"/>
      <c r="B50" s="24"/>
      <c r="C50" s="24"/>
      <c r="D50" s="24"/>
      <c r="E50" s="24"/>
      <c r="F50" s="24"/>
      <c r="G50" s="24"/>
      <c r="H50" s="24"/>
      <c r="I50" s="24"/>
      <c r="J50" s="24"/>
      <c r="K50" s="24"/>
      <c r="L50" s="24"/>
      <c r="M50" s="24"/>
      <c r="N50" s="24"/>
      <c r="O50" s="24"/>
      <c r="P50" s="24"/>
      <c r="Q50" s="24"/>
      <c r="R50" s="24"/>
    </row>
    <row r="51" spans="1:22" s="21" customFormat="1" ht="30" customHeight="1" x14ac:dyDescent="0.25">
      <c r="A51" s="24"/>
      <c r="B51" s="22"/>
      <c r="H51" s="22"/>
      <c r="N51" s="22"/>
      <c r="O51" s="22"/>
      <c r="P51" s="22"/>
      <c r="Q51" s="24"/>
      <c r="R51" s="24"/>
    </row>
    <row r="52" spans="1:22" s="22" customFormat="1" ht="25.5" customHeight="1" thickBot="1" x14ac:dyDescent="0.3"/>
    <row r="53" spans="1:22" s="21" customFormat="1" ht="30" customHeight="1" thickBot="1" x14ac:dyDescent="0.3">
      <c r="A53" s="24"/>
      <c r="B53" s="24"/>
      <c r="C53" s="24"/>
      <c r="D53" s="24"/>
      <c r="E53" s="1646" t="s">
        <v>406</v>
      </c>
      <c r="F53" s="1647"/>
      <c r="G53" s="1647"/>
      <c r="H53" s="1647"/>
      <c r="I53" s="1647"/>
      <c r="J53" s="1647"/>
      <c r="K53" s="1647"/>
      <c r="L53" s="1648"/>
      <c r="M53" s="24"/>
      <c r="N53" s="24"/>
      <c r="O53" s="24"/>
      <c r="P53" s="24"/>
      <c r="Q53" s="24"/>
    </row>
    <row r="54" spans="1:22" s="21" customFormat="1" ht="30" customHeight="1" x14ac:dyDescent="0.25">
      <c r="A54" s="24"/>
      <c r="E54" s="1764" t="s">
        <v>78</v>
      </c>
      <c r="F54" s="1765"/>
      <c r="G54" s="17" t="s">
        <v>151</v>
      </c>
      <c r="H54" s="18" t="s">
        <v>152</v>
      </c>
      <c r="I54" s="22"/>
      <c r="J54" s="410"/>
      <c r="K54" s="238"/>
      <c r="L54" s="239"/>
      <c r="M54" s="24"/>
      <c r="N54" s="992" t="s">
        <v>4</v>
      </c>
      <c r="O54" s="1757" t="s">
        <v>84</v>
      </c>
      <c r="P54" s="990"/>
      <c r="Q54" s="996" t="e">
        <f>IF(ABS(Q55)&gt;=(N55)," AJUSTAR","NO AJUSTAR")</f>
        <v>#N/A</v>
      </c>
      <c r="R54" s="986"/>
      <c r="S54" s="809"/>
      <c r="U54" s="842"/>
      <c r="V54" s="285"/>
    </row>
    <row r="55" spans="1:22" s="21" customFormat="1" ht="30" customHeight="1" thickBot="1" x14ac:dyDescent="0.3">
      <c r="A55" s="24"/>
      <c r="E55" s="1759">
        <v>1</v>
      </c>
      <c r="F55" s="1760"/>
      <c r="G55" s="411" t="e">
        <f>$C$7*((1-$D$33*($D$29-D44))+($K$55)*(J44-D44)+$F$33*($F$29-J44))</f>
        <v>#N/A</v>
      </c>
      <c r="H55" s="1023" t="e">
        <f>G55+N44</f>
        <v>#N/A</v>
      </c>
      <c r="I55" s="22"/>
      <c r="J55" s="77">
        <v>1</v>
      </c>
      <c r="K55" s="412" t="e">
        <f>(-0.1176*((D44+J44)/2)^2+(15.846*(D44+J44)/2)-62.677)*10^-6</f>
        <v>#N/A</v>
      </c>
      <c r="L55" s="104" t="s">
        <v>452</v>
      </c>
      <c r="M55" s="22"/>
      <c r="N55" s="993" t="e">
        <f>D31</f>
        <v>#N/A</v>
      </c>
      <c r="O55" s="1758"/>
      <c r="P55" s="989"/>
      <c r="Q55" s="997" t="e">
        <f>Q30</f>
        <v>#N/A</v>
      </c>
      <c r="R55" s="987"/>
      <c r="U55" s="843"/>
      <c r="V55" s="844"/>
    </row>
    <row r="56" spans="1:22" s="21" customFormat="1" ht="30" customHeight="1" x14ac:dyDescent="0.25">
      <c r="A56" s="24"/>
      <c r="E56" s="1759">
        <v>2</v>
      </c>
      <c r="F56" s="1760"/>
      <c r="G56" s="411" t="e">
        <f>$C$7*((1-$D$33*($D$29-D45))+($K$56)*(J45-D45)+$F$33*($F$29-J45))</f>
        <v>#N/A</v>
      </c>
      <c r="H56" s="1023" t="e">
        <f>G56+N45</f>
        <v>#N/A</v>
      </c>
      <c r="I56" s="22"/>
      <c r="J56" s="77">
        <v>2</v>
      </c>
      <c r="K56" s="412" t="e">
        <f>(-0.1176*((D45+J45)/2)^2+(15.846*(D45+J45)/2)-62.677)*10^-6</f>
        <v>#N/A</v>
      </c>
      <c r="L56" s="104" t="s">
        <v>452</v>
      </c>
      <c r="N56" s="994" t="s">
        <v>212</v>
      </c>
      <c r="O56" s="1757" t="s">
        <v>581</v>
      </c>
      <c r="P56" s="989"/>
      <c r="Q56" s="996" t="e">
        <f>IF(ABS(Q57)&gt;=(N57)," AJUSTAR","NO AJUSTAR")</f>
        <v>#N/A</v>
      </c>
      <c r="R56" s="987"/>
      <c r="U56" s="366"/>
    </row>
    <row r="57" spans="1:22" s="21" customFormat="1" ht="30" customHeight="1" thickBot="1" x14ac:dyDescent="0.3">
      <c r="A57" s="24"/>
      <c r="E57" s="1759">
        <v>3</v>
      </c>
      <c r="F57" s="1760"/>
      <c r="G57" s="411" t="e">
        <f>$C$7*((1-$D$33*($D$29-D46))+($K$57)*(J46-D46)+$F$33*($F$29-J46))</f>
        <v>#N/A</v>
      </c>
      <c r="H57" s="1023" t="e">
        <f>G57+N46</f>
        <v>#N/A</v>
      </c>
      <c r="I57" s="22"/>
      <c r="J57" s="77">
        <v>3</v>
      </c>
      <c r="K57" s="412" t="e">
        <f>(-0.1176*((D46+J46)/2)^2+(15.846*(D46+J46)/2)-62.677)*10^-6</f>
        <v>#N/A</v>
      </c>
      <c r="L57" s="104" t="s">
        <v>452</v>
      </c>
      <c r="N57" s="995">
        <f>'DATOS %'!AD115</f>
        <v>0.25</v>
      </c>
      <c r="O57" s="1758"/>
      <c r="P57" s="991"/>
      <c r="Q57" s="998" t="e">
        <f>Q28</f>
        <v>#N/A</v>
      </c>
      <c r="R57" s="988"/>
    </row>
    <row r="58" spans="1:22" s="21" customFormat="1" ht="30" customHeight="1" thickBot="1" x14ac:dyDescent="0.3">
      <c r="A58" s="24"/>
      <c r="E58" s="1761" t="s">
        <v>454</v>
      </c>
      <c r="F58" s="1762"/>
      <c r="G58" s="1763"/>
      <c r="H58" s="1023" t="e">
        <f>AVERAGE(H55:H57)</f>
        <v>#N/A</v>
      </c>
      <c r="J58" s="1" t="s">
        <v>2</v>
      </c>
      <c r="K58" s="413" t="e">
        <f>AVERAGE(K55:K57)</f>
        <v>#N/A</v>
      </c>
      <c r="L58" s="414" t="s">
        <v>452</v>
      </c>
      <c r="T58" s="366"/>
    </row>
    <row r="59" spans="1:22" s="21" customFormat="1" ht="30" customHeight="1" x14ac:dyDescent="0.25">
      <c r="A59" s="24"/>
      <c r="E59" s="1761" t="s">
        <v>455</v>
      </c>
      <c r="F59" s="1762"/>
      <c r="G59" s="1763"/>
      <c r="H59" s="1023" t="e">
        <f>_xlfn.STDEV.S(H55:H57)</f>
        <v>#N/A</v>
      </c>
      <c r="I59" s="24"/>
    </row>
    <row r="60" spans="1:22" s="21" customFormat="1" ht="30" customHeight="1" thickBot="1" x14ac:dyDescent="0.3">
      <c r="A60" s="24"/>
      <c r="B60" s="22"/>
      <c r="E60" s="1698" t="s">
        <v>85</v>
      </c>
      <c r="F60" s="1699"/>
      <c r="G60" s="1700"/>
      <c r="H60" s="416" t="e">
        <f>H59/SQRT(3)</f>
        <v>#N/A</v>
      </c>
      <c r="I60" s="24"/>
      <c r="J60" s="22"/>
      <c r="K60" s="22"/>
      <c r="L60" s="22"/>
      <c r="M60" s="22"/>
      <c r="N60" s="22"/>
      <c r="O60" s="22"/>
      <c r="P60" s="22"/>
      <c r="Q60" s="24"/>
      <c r="R60" s="24"/>
    </row>
    <row r="61" spans="1:22" s="21" customFormat="1" ht="30" customHeight="1" x14ac:dyDescent="0.25">
      <c r="A61" s="24"/>
      <c r="B61" s="22"/>
      <c r="M61" s="22" t="s">
        <v>12</v>
      </c>
      <c r="N61" s="22"/>
      <c r="O61" s="22"/>
      <c r="P61" s="22"/>
      <c r="Q61" s="24"/>
      <c r="R61" s="24"/>
    </row>
    <row r="62" spans="1:22" s="22" customFormat="1" ht="22.5" customHeight="1" x14ac:dyDescent="0.25">
      <c r="A62" s="417"/>
      <c r="J62" s="271"/>
      <c r="K62" s="271"/>
      <c r="L62" s="418"/>
      <c r="M62" s="418"/>
      <c r="N62" s="418"/>
      <c r="O62" s="418"/>
      <c r="Q62" s="24"/>
      <c r="R62" s="24"/>
    </row>
    <row r="63" spans="1:22" s="21" customFormat="1" ht="30" customHeight="1" thickBot="1" x14ac:dyDescent="0.3">
      <c r="M63" s="22"/>
      <c r="N63" s="22"/>
      <c r="O63" s="22"/>
      <c r="P63" s="22"/>
      <c r="Q63" s="24"/>
      <c r="R63" s="24"/>
    </row>
    <row r="64" spans="1:22" s="21" customFormat="1" ht="30" customHeight="1" thickBot="1" x14ac:dyDescent="0.3">
      <c r="A64" s="22"/>
      <c r="B64" s="1646" t="s">
        <v>86</v>
      </c>
      <c r="C64" s="1647"/>
      <c r="D64" s="1647"/>
      <c r="E64" s="1647"/>
      <c r="F64" s="1647"/>
      <c r="G64" s="1647"/>
      <c r="H64" s="1647"/>
      <c r="I64" s="1647"/>
      <c r="J64" s="1647"/>
      <c r="K64" s="1647"/>
      <c r="L64" s="1648"/>
      <c r="M64" s="22"/>
      <c r="Q64" s="24"/>
      <c r="R64" s="24"/>
    </row>
    <row r="65" spans="1:18" s="21" customFormat="1" ht="30" customHeight="1" thickBot="1" x14ac:dyDescent="0.3">
      <c r="A65" s="22"/>
      <c r="B65" s="419"/>
      <c r="C65" s="420"/>
      <c r="D65" s="420"/>
      <c r="E65" s="420"/>
      <c r="F65" s="420"/>
      <c r="G65" s="420"/>
      <c r="H65" s="420"/>
      <c r="I65" s="420"/>
      <c r="J65" s="420"/>
      <c r="K65" s="375" t="s">
        <v>87</v>
      </c>
      <c r="L65" s="375" t="s">
        <v>54</v>
      </c>
      <c r="M65" s="22"/>
      <c r="N65" s="267" t="s">
        <v>54</v>
      </c>
      <c r="O65" s="95" t="s">
        <v>1</v>
      </c>
      <c r="P65" s="96" t="s">
        <v>0</v>
      </c>
      <c r="Q65" s="24"/>
      <c r="R65" s="24"/>
    </row>
    <row r="66" spans="1:18" s="22" customFormat="1" ht="30" customHeight="1" thickBot="1" x14ac:dyDescent="0.3">
      <c r="B66" s="1755" t="s">
        <v>175</v>
      </c>
      <c r="C66" s="1756"/>
      <c r="D66" s="1756"/>
      <c r="E66" s="421"/>
      <c r="F66" s="421"/>
      <c r="G66" s="422"/>
      <c r="H66" s="422"/>
      <c r="I66" s="422"/>
      <c r="J66" s="422"/>
      <c r="K66" s="228" t="e">
        <f>(1-$O$74*(O72-O68))+(O78)*(P70-O68)+P76*(P80-P70)</f>
        <v>#N/A</v>
      </c>
      <c r="L66" s="242" t="s">
        <v>276</v>
      </c>
      <c r="N66" s="423"/>
      <c r="O66" s="424" t="e">
        <f>C7</f>
        <v>#N/A</v>
      </c>
      <c r="P66" s="425"/>
    </row>
    <row r="67" spans="1:18" s="21" customFormat="1" ht="5.0999999999999996" customHeight="1" thickBot="1" x14ac:dyDescent="0.3">
      <c r="A67" s="22"/>
      <c r="B67" s="94"/>
      <c r="C67" s="324"/>
      <c r="D67" s="324"/>
      <c r="E67" s="324"/>
      <c r="F67" s="426"/>
      <c r="G67" s="427"/>
      <c r="H67" s="427"/>
      <c r="I67" s="427"/>
      <c r="J67" s="427"/>
      <c r="K67" s="324"/>
      <c r="L67" s="243"/>
      <c r="M67" s="22"/>
      <c r="N67" s="428"/>
      <c r="O67" s="429"/>
      <c r="P67" s="430"/>
      <c r="R67" s="24"/>
    </row>
    <row r="68" spans="1:18" s="24" customFormat="1" ht="30" customHeight="1" thickBot="1" x14ac:dyDescent="0.3">
      <c r="A68" s="22"/>
      <c r="B68" s="1755" t="s">
        <v>176</v>
      </c>
      <c r="C68" s="1756"/>
      <c r="D68" s="1756"/>
      <c r="E68" s="1756"/>
      <c r="F68" s="421"/>
      <c r="G68" s="422"/>
      <c r="H68" s="422"/>
      <c r="I68" s="422"/>
      <c r="J68" s="422"/>
      <c r="K68" s="228" t="e">
        <f>$O$66*(O74-O78)</f>
        <v>#N/A</v>
      </c>
      <c r="L68" s="242" t="s">
        <v>297</v>
      </c>
      <c r="N68" s="431"/>
      <c r="O68" s="135" t="e">
        <f>G47</f>
        <v>#N/A</v>
      </c>
      <c r="P68" s="432"/>
    </row>
    <row r="69" spans="1:18" s="21" customFormat="1" ht="5.0999999999999996" customHeight="1" thickBot="1" x14ac:dyDescent="0.3">
      <c r="A69" s="22"/>
      <c r="B69" s="94"/>
      <c r="C69" s="324"/>
      <c r="D69" s="324"/>
      <c r="E69" s="324"/>
      <c r="F69" s="426"/>
      <c r="G69" s="427"/>
      <c r="H69" s="427"/>
      <c r="I69" s="427"/>
      <c r="J69" s="427"/>
      <c r="K69" s="324"/>
      <c r="L69" s="244"/>
      <c r="M69" s="24"/>
      <c r="N69" s="428"/>
      <c r="O69" s="429"/>
      <c r="P69" s="430"/>
      <c r="Q69" s="24"/>
      <c r="R69" s="24"/>
    </row>
    <row r="70" spans="1:18" s="24" customFormat="1" ht="30" customHeight="1" thickBot="1" x14ac:dyDescent="0.3">
      <c r="A70" s="22"/>
      <c r="B70" s="1755" t="s">
        <v>177</v>
      </c>
      <c r="C70" s="1756"/>
      <c r="D70" s="1756"/>
      <c r="E70" s="1756"/>
      <c r="F70" s="421"/>
      <c r="G70" s="422"/>
      <c r="H70" s="422"/>
      <c r="I70" s="422"/>
      <c r="J70" s="422"/>
      <c r="K70" s="228" t="e">
        <f>$O$66*(O78-P76)</f>
        <v>#N/A</v>
      </c>
      <c r="L70" s="242" t="s">
        <v>297</v>
      </c>
      <c r="N70" s="431"/>
      <c r="O70" s="433"/>
      <c r="P70" s="434" t="e">
        <f>N47</f>
        <v>#N/A</v>
      </c>
    </row>
    <row r="71" spans="1:18" s="21" customFormat="1" ht="5.0999999999999996" customHeight="1" thickBot="1" x14ac:dyDescent="0.3">
      <c r="A71" s="22"/>
      <c r="B71" s="94"/>
      <c r="C71" s="324"/>
      <c r="D71" s="324"/>
      <c r="E71" s="324"/>
      <c r="F71" s="324"/>
      <c r="G71" s="427"/>
      <c r="H71" s="427"/>
      <c r="I71" s="427"/>
      <c r="J71" s="427"/>
      <c r="K71" s="324"/>
      <c r="L71" s="244"/>
      <c r="M71" s="24"/>
      <c r="N71" s="428"/>
      <c r="O71" s="429"/>
      <c r="P71" s="430"/>
      <c r="Q71" s="24"/>
      <c r="R71" s="24"/>
    </row>
    <row r="72" spans="1:18" s="24" customFormat="1" ht="30" customHeight="1" thickBot="1" x14ac:dyDescent="0.3">
      <c r="A72" s="22"/>
      <c r="B72" s="1755" t="s">
        <v>507</v>
      </c>
      <c r="C72" s="1756"/>
      <c r="D72" s="1756"/>
      <c r="E72" s="1756"/>
      <c r="F72" s="1756"/>
      <c r="G72" s="422"/>
      <c r="H72" s="422"/>
      <c r="I72" s="422"/>
      <c r="J72" s="422"/>
      <c r="K72" s="519" t="e">
        <f>-O$66*(O72-O68)</f>
        <v>#N/A</v>
      </c>
      <c r="L72" s="242" t="s">
        <v>603</v>
      </c>
      <c r="N72" s="435"/>
      <c r="O72" s="348" t="e">
        <f>D29</f>
        <v>#N/A</v>
      </c>
      <c r="P72" s="436"/>
    </row>
    <row r="73" spans="1:18" s="21" customFormat="1" ht="5.0999999999999996" customHeight="1" thickBot="1" x14ac:dyDescent="0.3">
      <c r="A73" s="22"/>
      <c r="B73" s="94"/>
      <c r="C73" s="324"/>
      <c r="D73" s="324"/>
      <c r="E73" s="324"/>
      <c r="F73" s="324"/>
      <c r="G73" s="427"/>
      <c r="H73" s="427"/>
      <c r="I73" s="427"/>
      <c r="J73" s="427"/>
      <c r="K73" s="520"/>
      <c r="L73" s="244"/>
      <c r="M73" s="24"/>
      <c r="N73" s="428"/>
      <c r="O73" s="429"/>
      <c r="P73" s="430"/>
      <c r="Q73" s="24"/>
      <c r="R73" s="24"/>
    </row>
    <row r="74" spans="1:18" s="24" customFormat="1" ht="30" customHeight="1" thickBot="1" x14ac:dyDescent="0.3">
      <c r="A74" s="22"/>
      <c r="B74" s="1755" t="s">
        <v>505</v>
      </c>
      <c r="C74" s="1756"/>
      <c r="D74" s="1756"/>
      <c r="E74" s="1756"/>
      <c r="F74" s="1756"/>
      <c r="G74" s="437"/>
      <c r="H74" s="437"/>
      <c r="I74" s="437"/>
      <c r="J74" s="422"/>
      <c r="K74" s="519" t="e">
        <f>$O$66*(P80-P70)</f>
        <v>#N/A</v>
      </c>
      <c r="L74" s="242" t="s">
        <v>603</v>
      </c>
      <c r="N74" s="431"/>
      <c r="O74" s="274" t="e">
        <f>D33</f>
        <v>#N/A</v>
      </c>
      <c r="P74" s="432"/>
    </row>
    <row r="75" spans="1:18" s="21" customFormat="1" ht="5.0999999999999996" customHeight="1" thickBot="1" x14ac:dyDescent="0.3">
      <c r="A75" s="22"/>
      <c r="B75" s="94"/>
      <c r="C75" s="324"/>
      <c r="D75" s="324"/>
      <c r="E75" s="324"/>
      <c r="F75" s="324"/>
      <c r="G75" s="427"/>
      <c r="H75" s="427"/>
      <c r="I75" s="427"/>
      <c r="J75" s="427"/>
      <c r="K75" s="324"/>
      <c r="L75" s="244"/>
      <c r="M75" s="24"/>
      <c r="N75" s="428"/>
      <c r="O75" s="429"/>
      <c r="P75" s="430"/>
      <c r="Q75" s="24"/>
      <c r="R75" s="24"/>
    </row>
    <row r="76" spans="1:18" s="24" customFormat="1" ht="30" customHeight="1" thickBot="1" x14ac:dyDescent="0.3">
      <c r="A76" s="22"/>
      <c r="B76" s="1755" t="s">
        <v>506</v>
      </c>
      <c r="C76" s="1756"/>
      <c r="D76" s="1756"/>
      <c r="E76" s="1756"/>
      <c r="F76" s="1756"/>
      <c r="G76" s="422"/>
      <c r="H76" s="422"/>
      <c r="I76" s="422"/>
      <c r="J76" s="422"/>
      <c r="K76" s="228" t="e">
        <f>$O$66*(P70-O68)</f>
        <v>#N/A</v>
      </c>
      <c r="L76" s="242" t="s">
        <v>603</v>
      </c>
      <c r="N76" s="431"/>
      <c r="O76" s="433"/>
      <c r="P76" s="522" t="e">
        <f>F33</f>
        <v>#N/A</v>
      </c>
    </row>
    <row r="77" spans="1:18" s="21" customFormat="1" ht="5.0999999999999996" customHeight="1" thickBot="1" x14ac:dyDescent="0.3">
      <c r="A77" s="22"/>
      <c r="B77" s="94"/>
      <c r="C77" s="324"/>
      <c r="D77" s="324"/>
      <c r="E77" s="426"/>
      <c r="F77" s="426"/>
      <c r="G77" s="427"/>
      <c r="H77" s="427"/>
      <c r="I77" s="427"/>
      <c r="J77" s="427"/>
      <c r="K77" s="324"/>
      <c r="L77" s="244"/>
      <c r="M77" s="418"/>
      <c r="N77" s="438"/>
      <c r="O77" s="429"/>
      <c r="P77" s="430"/>
      <c r="Q77" s="24"/>
      <c r="R77" s="24"/>
    </row>
    <row r="78" spans="1:18" s="24" customFormat="1" ht="30" customHeight="1" thickBot="1" x14ac:dyDescent="0.3">
      <c r="A78" s="22"/>
      <c r="B78" s="1755" t="s">
        <v>88</v>
      </c>
      <c r="C78" s="1756"/>
      <c r="D78" s="1756"/>
      <c r="E78" s="439"/>
      <c r="F78" s="439"/>
      <c r="G78" s="437"/>
      <c r="H78" s="437"/>
      <c r="I78" s="437"/>
      <c r="J78" s="422"/>
      <c r="K78" s="440">
        <v>1</v>
      </c>
      <c r="L78" s="242" t="s">
        <v>276</v>
      </c>
      <c r="M78" s="418"/>
      <c r="N78" s="431"/>
      <c r="O78" s="441" t="e">
        <f>D37</f>
        <v>#N/A</v>
      </c>
      <c r="P78" s="442" t="e">
        <f>F37</f>
        <v>#N/A</v>
      </c>
    </row>
    <row r="79" spans="1:18" s="21" customFormat="1" ht="5.0999999999999996" customHeight="1" thickBot="1" x14ac:dyDescent="0.3">
      <c r="A79" s="283"/>
      <c r="B79" s="94"/>
      <c r="C79" s="324"/>
      <c r="D79" s="324"/>
      <c r="E79" s="426"/>
      <c r="F79" s="426"/>
      <c r="G79" s="427"/>
      <c r="H79" s="427"/>
      <c r="I79" s="427"/>
      <c r="J79" s="427"/>
      <c r="K79" s="324"/>
      <c r="L79" s="244"/>
      <c r="M79" s="418"/>
      <c r="N79" s="438"/>
      <c r="O79" s="429"/>
      <c r="P79" s="430"/>
      <c r="Q79" s="24"/>
      <c r="R79" s="24"/>
    </row>
    <row r="80" spans="1:18" s="24" customFormat="1" ht="30" customHeight="1" thickBot="1" x14ac:dyDescent="0.3">
      <c r="A80" s="22"/>
      <c r="B80" s="1755" t="s">
        <v>89</v>
      </c>
      <c r="C80" s="1756"/>
      <c r="D80" s="1756"/>
      <c r="E80" s="439"/>
      <c r="F80" s="439"/>
      <c r="G80" s="437"/>
      <c r="H80" s="437"/>
      <c r="I80" s="437"/>
      <c r="J80" s="422"/>
      <c r="K80" s="440">
        <v>1</v>
      </c>
      <c r="L80" s="242" t="s">
        <v>276</v>
      </c>
      <c r="M80" s="418"/>
      <c r="N80" s="443"/>
      <c r="O80" s="444"/>
      <c r="P80" s="445" t="e">
        <f>F29</f>
        <v>#N/A</v>
      </c>
    </row>
    <row r="81" spans="1:18" s="21" customFormat="1" ht="5.0999999999999996" customHeight="1" thickBot="1" x14ac:dyDescent="0.3">
      <c r="A81" s="22"/>
      <c r="B81" s="94"/>
      <c r="C81" s="324"/>
      <c r="D81" s="324"/>
      <c r="E81" s="426"/>
      <c r="F81" s="426"/>
      <c r="G81" s="427"/>
      <c r="H81" s="427"/>
      <c r="I81" s="427"/>
      <c r="J81" s="427"/>
      <c r="K81" s="324"/>
      <c r="L81" s="244"/>
      <c r="M81" s="418"/>
      <c r="Q81" s="24"/>
      <c r="R81" s="24"/>
    </row>
    <row r="82" spans="1:18" s="24" customFormat="1" ht="30" customHeight="1" thickBot="1" x14ac:dyDescent="0.3">
      <c r="A82" s="22"/>
      <c r="B82" s="1755" t="s">
        <v>90</v>
      </c>
      <c r="C82" s="1756"/>
      <c r="D82" s="1756"/>
      <c r="E82" s="421"/>
      <c r="F82" s="421"/>
      <c r="G82" s="422"/>
      <c r="H82" s="422"/>
      <c r="I82" s="422"/>
      <c r="J82" s="422"/>
      <c r="K82" s="440">
        <v>1</v>
      </c>
      <c r="L82" s="242" t="s">
        <v>276</v>
      </c>
      <c r="M82" s="418"/>
    </row>
    <row r="83" spans="1:18" s="24" customFormat="1" ht="9.75" customHeight="1" thickBot="1" x14ac:dyDescent="0.3">
      <c r="A83" s="22"/>
      <c r="B83" s="405"/>
      <c r="C83" s="406"/>
      <c r="D83" s="406"/>
      <c r="E83" s="406"/>
      <c r="F83" s="406"/>
      <c r="G83" s="406"/>
      <c r="H83" s="406"/>
      <c r="I83" s="406"/>
      <c r="J83" s="406"/>
      <c r="K83" s="406"/>
      <c r="L83" s="446"/>
      <c r="M83" s="418"/>
      <c r="N83" s="418"/>
      <c r="O83" s="447"/>
      <c r="P83" s="22"/>
    </row>
    <row r="84" spans="1:18" s="24" customFormat="1" ht="39.75" customHeight="1" x14ac:dyDescent="0.25">
      <c r="A84" s="22"/>
      <c r="B84" s="418"/>
      <c r="C84" s="418"/>
      <c r="D84" s="418"/>
      <c r="E84" s="418"/>
      <c r="F84" s="418"/>
      <c r="G84" s="418"/>
      <c r="H84" s="418"/>
      <c r="I84" s="418"/>
      <c r="J84" s="418"/>
      <c r="K84" s="418"/>
      <c r="L84" s="418"/>
      <c r="M84" s="418"/>
    </row>
    <row r="85" spans="1:18" s="24" customFormat="1" ht="34.5" customHeight="1" thickBot="1" x14ac:dyDescent="0.3">
      <c r="A85" s="22"/>
      <c r="M85" s="418"/>
      <c r="N85" s="418"/>
      <c r="O85" s="447"/>
      <c r="P85" s="22"/>
    </row>
    <row r="86" spans="1:18" s="24" customFormat="1" ht="34.5" customHeight="1" thickBot="1" x14ac:dyDescent="0.3">
      <c r="A86" s="418"/>
      <c r="B86" s="1646" t="s">
        <v>91</v>
      </c>
      <c r="C86" s="1647"/>
      <c r="D86" s="1647"/>
      <c r="E86" s="1647"/>
      <c r="F86" s="1647"/>
      <c r="G86" s="1647"/>
      <c r="H86" s="1647"/>
      <c r="I86" s="1647"/>
      <c r="J86" s="1647"/>
      <c r="K86" s="1647"/>
      <c r="L86" s="1647"/>
      <c r="M86" s="1647"/>
      <c r="N86" s="1647"/>
      <c r="O86" s="1647"/>
      <c r="P86" s="1647"/>
      <c r="Q86" s="1647"/>
      <c r="R86" s="1648"/>
    </row>
    <row r="87" spans="1:18" s="21" customFormat="1" ht="57.75" customHeight="1" thickBot="1" x14ac:dyDescent="0.3">
      <c r="B87" s="1643" t="s">
        <v>92</v>
      </c>
      <c r="C87" s="1775"/>
      <c r="D87" s="95" t="s">
        <v>153</v>
      </c>
      <c r="E87" s="95" t="s">
        <v>93</v>
      </c>
      <c r="F87" s="95"/>
      <c r="G87" s="803" t="s">
        <v>438</v>
      </c>
      <c r="H87" s="95" t="s">
        <v>95</v>
      </c>
      <c r="I87" s="95"/>
      <c r="J87" s="95" t="s">
        <v>96</v>
      </c>
      <c r="K87" s="95"/>
      <c r="L87" s="95" t="s">
        <v>97</v>
      </c>
      <c r="M87" s="95"/>
      <c r="N87" s="95" t="s">
        <v>456</v>
      </c>
      <c r="O87" s="95" t="s">
        <v>98</v>
      </c>
      <c r="P87" s="95" t="s">
        <v>99</v>
      </c>
      <c r="Q87" s="96" t="s">
        <v>100</v>
      </c>
      <c r="R87" s="1303" t="s">
        <v>616</v>
      </c>
    </row>
    <row r="88" spans="1:18" s="21" customFormat="1" ht="39.950000000000003" customHeight="1" x14ac:dyDescent="0.25">
      <c r="A88" s="24"/>
      <c r="B88" s="1776" t="s">
        <v>101</v>
      </c>
      <c r="C88" s="1777"/>
      <c r="D88" s="448" t="e">
        <f>C7</f>
        <v>#N/A</v>
      </c>
      <c r="E88" s="449"/>
      <c r="F88" s="449"/>
      <c r="G88" s="449"/>
      <c r="H88" s="449"/>
      <c r="I88" s="449"/>
      <c r="J88" s="449"/>
      <c r="K88" s="449"/>
      <c r="L88" s="449"/>
      <c r="M88" s="449"/>
      <c r="N88" s="449"/>
      <c r="O88" s="449"/>
      <c r="P88" s="449"/>
      <c r="Q88" s="450"/>
    </row>
    <row r="89" spans="1:18" s="447" customFormat="1" ht="39.950000000000003" customHeight="1" x14ac:dyDescent="0.25">
      <c r="B89" s="1773" t="s">
        <v>102</v>
      </c>
      <c r="C89" s="1774"/>
      <c r="D89" s="451"/>
      <c r="E89" s="278" t="e">
        <f>I7</f>
        <v>#N/A</v>
      </c>
      <c r="F89" s="452" t="s">
        <v>4</v>
      </c>
      <c r="G89" s="251" t="e">
        <f>O7</f>
        <v>#N/A</v>
      </c>
      <c r="H89" s="251" t="e">
        <f>E89/G89</f>
        <v>#N/A</v>
      </c>
      <c r="I89" s="452" t="s">
        <v>4</v>
      </c>
      <c r="J89" s="453" t="e">
        <f>K66</f>
        <v>#N/A</v>
      </c>
      <c r="K89" s="454"/>
      <c r="L89" s="277" t="e">
        <f>H89*J89</f>
        <v>#N/A</v>
      </c>
      <c r="M89" s="454" t="s">
        <v>4</v>
      </c>
      <c r="N89" s="453" t="e">
        <f>L89^2</f>
        <v>#N/A</v>
      </c>
      <c r="O89" s="454" t="s">
        <v>17</v>
      </c>
      <c r="P89" s="454" t="s">
        <v>103</v>
      </c>
      <c r="Q89" s="1233">
        <v>50</v>
      </c>
      <c r="R89" s="1298" t="e">
        <f>(L89/$N$119)^2</f>
        <v>#N/A</v>
      </c>
    </row>
    <row r="90" spans="1:18" s="21" customFormat="1" ht="39.950000000000003" customHeight="1" thickBot="1" x14ac:dyDescent="0.3">
      <c r="A90" s="1766"/>
      <c r="B90" s="1767" t="s">
        <v>104</v>
      </c>
      <c r="C90" s="1768"/>
      <c r="D90" s="451"/>
      <c r="E90" s="279" t="e">
        <f>K7</f>
        <v>#N/A</v>
      </c>
      <c r="F90" s="455" t="s">
        <v>4</v>
      </c>
      <c r="G90" s="279">
        <f>SQRT(12)</f>
        <v>3.4641016151377544</v>
      </c>
      <c r="H90" s="251" t="e">
        <f>E90/G90</f>
        <v>#N/A</v>
      </c>
      <c r="I90" s="455" t="str">
        <f>F90</f>
        <v>mL</v>
      </c>
      <c r="J90" s="453" t="e">
        <f>K66</f>
        <v>#N/A</v>
      </c>
      <c r="K90" s="454"/>
      <c r="L90" s="277" t="e">
        <f>H90*J90</f>
        <v>#N/A</v>
      </c>
      <c r="M90" s="454" t="s">
        <v>4</v>
      </c>
      <c r="N90" s="453" t="e">
        <f>L90^2</f>
        <v>#N/A</v>
      </c>
      <c r="O90" s="454" t="s">
        <v>17</v>
      </c>
      <c r="P90" s="454" t="s">
        <v>5</v>
      </c>
      <c r="Q90" s="1233" t="s">
        <v>11</v>
      </c>
      <c r="R90" s="1298" t="e">
        <f t="shared" ref="R90:R117" si="2">(L90/$N$119)^2</f>
        <v>#N/A</v>
      </c>
    </row>
    <row r="91" spans="1:18" s="21" customFormat="1" ht="5.0999999999999996" customHeight="1" thickBot="1" x14ac:dyDescent="0.3">
      <c r="A91" s="1766"/>
      <c r="B91" s="1769"/>
      <c r="C91" s="1770"/>
      <c r="D91" s="456"/>
      <c r="E91" s="141"/>
      <c r="F91" s="141"/>
      <c r="G91" s="141"/>
      <c r="H91" s="141"/>
      <c r="I91" s="141"/>
      <c r="J91" s="141"/>
      <c r="K91" s="141"/>
      <c r="L91" s="141"/>
      <c r="M91" s="141"/>
      <c r="N91" s="457"/>
      <c r="O91" s="141"/>
      <c r="P91" s="141"/>
      <c r="Q91" s="458"/>
      <c r="R91" s="1297"/>
    </row>
    <row r="92" spans="1:18" s="447" customFormat="1" ht="39.950000000000003" customHeight="1" x14ac:dyDescent="0.25">
      <c r="B92" s="1771" t="s">
        <v>178</v>
      </c>
      <c r="C92" s="1772"/>
      <c r="D92" s="459" t="e">
        <f>C18</f>
        <v>#N/A</v>
      </c>
      <c r="E92" s="460"/>
      <c r="F92" s="141"/>
      <c r="G92" s="141"/>
      <c r="H92" s="141"/>
      <c r="I92" s="141"/>
      <c r="J92" s="141"/>
      <c r="K92" s="141"/>
      <c r="L92" s="141"/>
      <c r="M92" s="141"/>
      <c r="N92" s="457"/>
      <c r="O92" s="141"/>
      <c r="P92" s="141"/>
      <c r="Q92" s="458"/>
      <c r="R92" s="1297"/>
    </row>
    <row r="93" spans="1:18" s="21" customFormat="1" ht="39.950000000000003" customHeight="1" x14ac:dyDescent="0.25">
      <c r="A93" s="22"/>
      <c r="B93" s="1773" t="s">
        <v>179</v>
      </c>
      <c r="C93" s="1774"/>
      <c r="D93" s="461"/>
      <c r="E93" s="277" t="e">
        <f>I18</f>
        <v>#N/A</v>
      </c>
      <c r="F93" s="462" t="str">
        <f>F19</f>
        <v>mL</v>
      </c>
      <c r="G93" s="463" t="e">
        <f>O18</f>
        <v>#N/A</v>
      </c>
      <c r="H93" s="277" t="e">
        <f>E93/G93</f>
        <v>#N/A</v>
      </c>
      <c r="I93" s="462" t="str">
        <f>F93</f>
        <v>mL</v>
      </c>
      <c r="J93" s="463">
        <f>K82</f>
        <v>1</v>
      </c>
      <c r="K93" s="462"/>
      <c r="L93" s="521" t="e">
        <f>H93*J93</f>
        <v>#N/A</v>
      </c>
      <c r="M93" s="462" t="s">
        <v>4</v>
      </c>
      <c r="N93" s="453" t="e">
        <f>L93^2</f>
        <v>#N/A</v>
      </c>
      <c r="O93" s="454" t="s">
        <v>17</v>
      </c>
      <c r="P93" s="454" t="s">
        <v>103</v>
      </c>
      <c r="Q93" s="1233">
        <v>50</v>
      </c>
      <c r="R93" s="1298" t="e">
        <f t="shared" si="2"/>
        <v>#N/A</v>
      </c>
    </row>
    <row r="94" spans="1:18" s="447" customFormat="1" ht="39.950000000000003" customHeight="1" x14ac:dyDescent="0.25">
      <c r="B94" s="1773" t="s">
        <v>180</v>
      </c>
      <c r="C94" s="1774"/>
      <c r="D94" s="461"/>
      <c r="E94" s="278" t="e">
        <f>E18</f>
        <v>#N/A</v>
      </c>
      <c r="F94" s="462" t="str">
        <f>F19</f>
        <v>mL</v>
      </c>
      <c r="G94" s="277">
        <f>SQRT(12)</f>
        <v>3.4641016151377544</v>
      </c>
      <c r="H94" s="277" t="e">
        <f>E94/G94</f>
        <v>#N/A</v>
      </c>
      <c r="I94" s="462" t="str">
        <f>F94</f>
        <v>mL</v>
      </c>
      <c r="J94" s="463">
        <f>K82</f>
        <v>1</v>
      </c>
      <c r="K94" s="462"/>
      <c r="L94" s="453" t="e">
        <f>H94*J94</f>
        <v>#N/A</v>
      </c>
      <c r="M94" s="462" t="s">
        <v>4</v>
      </c>
      <c r="N94" s="453" t="e">
        <f>L94^2</f>
        <v>#N/A</v>
      </c>
      <c r="O94" s="454" t="s">
        <v>17</v>
      </c>
      <c r="P94" s="454" t="s">
        <v>5</v>
      </c>
      <c r="Q94" s="1233" t="s">
        <v>11</v>
      </c>
      <c r="R94" s="1298" t="e">
        <f t="shared" si="2"/>
        <v>#N/A</v>
      </c>
    </row>
    <row r="95" spans="1:18" s="21" customFormat="1" ht="39.950000000000003" customHeight="1" thickBot="1" x14ac:dyDescent="0.3">
      <c r="A95" s="22"/>
      <c r="B95" s="1767" t="s">
        <v>181</v>
      </c>
      <c r="C95" s="1768"/>
      <c r="D95" s="461"/>
      <c r="E95" s="277" t="e">
        <f>K18</f>
        <v>#N/A</v>
      </c>
      <c r="F95" s="462" t="str">
        <f>F19</f>
        <v>mL</v>
      </c>
      <c r="G95" s="279">
        <f>SQRT(12)</f>
        <v>3.4641016151377544</v>
      </c>
      <c r="H95" s="278" t="e">
        <f>E95/G95</f>
        <v>#N/A</v>
      </c>
      <c r="I95" s="462" t="str">
        <f>F95</f>
        <v>mL</v>
      </c>
      <c r="J95" s="463">
        <f>K82</f>
        <v>1</v>
      </c>
      <c r="K95" s="462"/>
      <c r="L95" s="464" t="e">
        <f>H95*J95</f>
        <v>#N/A</v>
      </c>
      <c r="M95" s="462" t="s">
        <v>4</v>
      </c>
      <c r="N95" s="453" t="e">
        <f>L95^2</f>
        <v>#N/A</v>
      </c>
      <c r="O95" s="454" t="s">
        <v>17</v>
      </c>
      <c r="P95" s="454" t="s">
        <v>5</v>
      </c>
      <c r="Q95" s="1233" t="s">
        <v>11</v>
      </c>
      <c r="R95" s="1298" t="e">
        <f t="shared" si="2"/>
        <v>#N/A</v>
      </c>
    </row>
    <row r="96" spans="1:18" s="21" customFormat="1" ht="5.0999999999999996" customHeight="1" thickBot="1" x14ac:dyDescent="0.3">
      <c r="A96" s="22"/>
      <c r="B96" s="465"/>
      <c r="C96" s="466"/>
      <c r="D96" s="467"/>
      <c r="E96" s="468"/>
      <c r="F96" s="469"/>
      <c r="G96" s="470"/>
      <c r="H96" s="471"/>
      <c r="I96" s="472"/>
      <c r="J96" s="473"/>
      <c r="K96" s="474"/>
      <c r="L96" s="471"/>
      <c r="M96" s="471"/>
      <c r="N96" s="474"/>
      <c r="O96" s="471"/>
      <c r="P96" s="471"/>
      <c r="Q96" s="475"/>
      <c r="R96" s="1297"/>
    </row>
    <row r="97" spans="1:90" s="21" customFormat="1" ht="39.950000000000003" customHeight="1" x14ac:dyDescent="0.25">
      <c r="A97" s="22"/>
      <c r="B97" s="1771" t="s">
        <v>105</v>
      </c>
      <c r="C97" s="1772"/>
      <c r="D97" s="459" t="e">
        <f>G47</f>
        <v>#N/A</v>
      </c>
      <c r="E97" s="280" t="e">
        <f>G47</f>
        <v>#N/A</v>
      </c>
      <c r="F97" s="455" t="s">
        <v>3</v>
      </c>
      <c r="G97" s="141"/>
      <c r="H97" s="141"/>
      <c r="I97" s="141"/>
      <c r="J97" s="476"/>
      <c r="K97" s="141"/>
      <c r="L97" s="141"/>
      <c r="M97" s="141"/>
      <c r="N97" s="457"/>
      <c r="O97" s="141"/>
      <c r="P97" s="141"/>
      <c r="Q97" s="458"/>
      <c r="R97" s="1297"/>
    </row>
    <row r="98" spans="1:90" s="21" customFormat="1" ht="39.950000000000003" customHeight="1" x14ac:dyDescent="0.25">
      <c r="A98" s="22"/>
      <c r="B98" s="1773" t="s">
        <v>106</v>
      </c>
      <c r="C98" s="1774"/>
      <c r="D98" s="459" t="e">
        <f>E11</f>
        <v>#N/A</v>
      </c>
      <c r="E98" s="251" t="e">
        <f>E9</f>
        <v>#N/A</v>
      </c>
      <c r="F98" s="455" t="s">
        <v>3</v>
      </c>
      <c r="G98" s="251">
        <f>SQRT(12)</f>
        <v>3.4641016151377544</v>
      </c>
      <c r="H98" s="251" t="e">
        <f>E98/G98</f>
        <v>#N/A</v>
      </c>
      <c r="I98" s="99" t="s">
        <v>3</v>
      </c>
      <c r="J98" s="464" t="e">
        <f>K68</f>
        <v>#N/A</v>
      </c>
      <c r="K98" s="454" t="s">
        <v>457</v>
      </c>
      <c r="L98" s="251" t="e">
        <f t="shared" ref="L98:L110" si="3">H98*J98</f>
        <v>#N/A</v>
      </c>
      <c r="M98" s="454" t="s">
        <v>4</v>
      </c>
      <c r="N98" s="453" t="e">
        <f t="shared" ref="N98:N110" si="4">L98^2</f>
        <v>#N/A</v>
      </c>
      <c r="O98" s="454" t="s">
        <v>18</v>
      </c>
      <c r="P98" s="454" t="s">
        <v>5</v>
      </c>
      <c r="Q98" s="1233" t="s">
        <v>11</v>
      </c>
      <c r="R98" s="1298" t="e">
        <f t="shared" si="2"/>
        <v>#N/A</v>
      </c>
    </row>
    <row r="99" spans="1:90" s="447" customFormat="1" ht="39.950000000000003" customHeight="1" x14ac:dyDescent="0.25">
      <c r="B99" s="1773" t="s">
        <v>107</v>
      </c>
      <c r="C99" s="1774"/>
      <c r="D99" s="461"/>
      <c r="E99" s="280" t="e">
        <f>MAX(I8:I12)</f>
        <v>#N/A</v>
      </c>
      <c r="F99" s="455" t="str">
        <f>F14</f>
        <v>°C</v>
      </c>
      <c r="G99" s="251" t="e">
        <f>O9</f>
        <v>#N/A</v>
      </c>
      <c r="H99" s="251" t="e">
        <f t="shared" ref="H99:H111" si="5">E99/G99</f>
        <v>#N/A</v>
      </c>
      <c r="I99" s="99" t="s">
        <v>3</v>
      </c>
      <c r="J99" s="464" t="e">
        <f>K68</f>
        <v>#N/A</v>
      </c>
      <c r="K99" s="454" t="s">
        <v>457</v>
      </c>
      <c r="L99" s="251" t="e">
        <f t="shared" si="3"/>
        <v>#N/A</v>
      </c>
      <c r="M99" s="454" t="s">
        <v>4</v>
      </c>
      <c r="N99" s="453" t="e">
        <f t="shared" si="4"/>
        <v>#N/A</v>
      </c>
      <c r="O99" s="454" t="s">
        <v>17</v>
      </c>
      <c r="P99" s="454" t="s">
        <v>103</v>
      </c>
      <c r="Q99" s="1233">
        <v>50</v>
      </c>
      <c r="R99" s="1298" t="e">
        <f t="shared" si="2"/>
        <v>#N/A</v>
      </c>
    </row>
    <row r="100" spans="1:90" s="21" customFormat="1" ht="39.950000000000003" customHeight="1" x14ac:dyDescent="0.25">
      <c r="A100" s="22"/>
      <c r="B100" s="1773" t="s">
        <v>104</v>
      </c>
      <c r="C100" s="1774"/>
      <c r="D100" s="461"/>
      <c r="E100" s="463" t="e">
        <f>VLOOKUP(D97,C8:K12,9,TRUE)</f>
        <v>#N/A</v>
      </c>
      <c r="F100" s="455" t="str">
        <f>F14</f>
        <v>°C</v>
      </c>
      <c r="G100" s="279">
        <f>SQRT(12)</f>
        <v>3.4641016151377544</v>
      </c>
      <c r="H100" s="251" t="e">
        <f>E100/G100</f>
        <v>#N/A</v>
      </c>
      <c r="I100" s="99" t="s">
        <v>3</v>
      </c>
      <c r="J100" s="464" t="e">
        <f>K68</f>
        <v>#N/A</v>
      </c>
      <c r="K100" s="454" t="s">
        <v>457</v>
      </c>
      <c r="L100" s="251" t="e">
        <f t="shared" si="3"/>
        <v>#N/A</v>
      </c>
      <c r="M100" s="454" t="s">
        <v>4</v>
      </c>
      <c r="N100" s="453" t="e">
        <f t="shared" si="4"/>
        <v>#N/A</v>
      </c>
      <c r="O100" s="454" t="s">
        <v>17</v>
      </c>
      <c r="P100" s="454" t="s">
        <v>5</v>
      </c>
      <c r="Q100" s="1233" t="s">
        <v>11</v>
      </c>
      <c r="R100" s="1298" t="e">
        <f t="shared" si="2"/>
        <v>#N/A</v>
      </c>
    </row>
    <row r="101" spans="1:90" s="21" customFormat="1" ht="39.950000000000003" customHeight="1" x14ac:dyDescent="0.25">
      <c r="A101" s="22"/>
      <c r="B101" s="1773" t="s">
        <v>108</v>
      </c>
      <c r="C101" s="1774"/>
      <c r="D101" s="461"/>
      <c r="E101" s="280" t="e">
        <f>(MAX(D44:D46)-(MIN(D44:D46)))</f>
        <v>#N/A</v>
      </c>
      <c r="F101" s="455" t="str">
        <f>F14</f>
        <v>°C</v>
      </c>
      <c r="G101" s="251">
        <f>SQRT(12)</f>
        <v>3.4641016151377544</v>
      </c>
      <c r="H101" s="251" t="e">
        <f t="shared" si="5"/>
        <v>#N/A</v>
      </c>
      <c r="I101" s="99" t="s">
        <v>3</v>
      </c>
      <c r="J101" s="464" t="e">
        <f>K68</f>
        <v>#N/A</v>
      </c>
      <c r="K101" s="454" t="s">
        <v>457</v>
      </c>
      <c r="L101" s="251" t="e">
        <f t="shared" si="3"/>
        <v>#N/A</v>
      </c>
      <c r="M101" s="454" t="s">
        <v>4</v>
      </c>
      <c r="N101" s="453" t="e">
        <f t="shared" si="4"/>
        <v>#N/A</v>
      </c>
      <c r="O101" s="454" t="s">
        <v>18</v>
      </c>
      <c r="P101" s="454" t="s">
        <v>5</v>
      </c>
      <c r="Q101" s="1233" t="s">
        <v>11</v>
      </c>
      <c r="R101" s="1298" t="e">
        <f t="shared" si="2"/>
        <v>#N/A</v>
      </c>
    </row>
    <row r="102" spans="1:90" s="21" customFormat="1" ht="39.950000000000003" customHeight="1" x14ac:dyDescent="0.25">
      <c r="A102" s="22"/>
      <c r="B102" s="1773" t="s">
        <v>109</v>
      </c>
      <c r="C102" s="1774"/>
      <c r="D102" s="459" t="e">
        <f>N47</f>
        <v>#N/A</v>
      </c>
      <c r="E102" s="280">
        <f>M50</f>
        <v>0</v>
      </c>
      <c r="F102" s="455" t="str">
        <f>F14</f>
        <v>°C</v>
      </c>
      <c r="G102" s="141"/>
      <c r="H102" s="141"/>
      <c r="I102" s="141"/>
      <c r="J102" s="476"/>
      <c r="K102" s="141"/>
      <c r="L102" s="141"/>
      <c r="M102" s="141"/>
      <c r="N102" s="457"/>
      <c r="O102" s="141"/>
      <c r="P102" s="141"/>
      <c r="Q102" s="458"/>
      <c r="R102" s="1297"/>
    </row>
    <row r="103" spans="1:90" s="21" customFormat="1" ht="39.950000000000003" customHeight="1" x14ac:dyDescent="0.25">
      <c r="A103" s="22"/>
      <c r="B103" s="1773" t="s">
        <v>106</v>
      </c>
      <c r="C103" s="1774"/>
      <c r="D103" s="246" t="e">
        <f>E14</f>
        <v>#N/A</v>
      </c>
      <c r="E103" s="251" t="e">
        <f>E14</f>
        <v>#N/A</v>
      </c>
      <c r="F103" s="454" t="str">
        <f>F14</f>
        <v>°C</v>
      </c>
      <c r="G103" s="251">
        <f>SQRT(12)</f>
        <v>3.4641016151377544</v>
      </c>
      <c r="H103" s="251" t="e">
        <f t="shared" si="5"/>
        <v>#N/A</v>
      </c>
      <c r="I103" s="99" t="s">
        <v>3</v>
      </c>
      <c r="J103" s="453" t="e">
        <f>K70</f>
        <v>#N/A</v>
      </c>
      <c r="K103" s="454" t="s">
        <v>457</v>
      </c>
      <c r="L103" s="251" t="e">
        <f t="shared" si="3"/>
        <v>#N/A</v>
      </c>
      <c r="M103" s="454" t="s">
        <v>4</v>
      </c>
      <c r="N103" s="453" t="e">
        <f t="shared" si="4"/>
        <v>#N/A</v>
      </c>
      <c r="O103" s="454" t="s">
        <v>18</v>
      </c>
      <c r="P103" s="454" t="s">
        <v>5</v>
      </c>
      <c r="Q103" s="1233" t="s">
        <v>11</v>
      </c>
      <c r="R103" s="1298" t="e">
        <f t="shared" si="2"/>
        <v>#N/A</v>
      </c>
    </row>
    <row r="104" spans="1:90" s="447" customFormat="1" ht="39.950000000000003" customHeight="1" x14ac:dyDescent="0.25">
      <c r="B104" s="1783" t="s">
        <v>107</v>
      </c>
      <c r="C104" s="1784"/>
      <c r="D104" s="461"/>
      <c r="E104" s="280" t="e">
        <f>MAX(I13:I17)</f>
        <v>#N/A</v>
      </c>
      <c r="F104" s="455" t="str">
        <f>F14</f>
        <v>°C</v>
      </c>
      <c r="G104" s="463" t="e">
        <f>O14</f>
        <v>#N/A</v>
      </c>
      <c r="H104" s="251" t="e">
        <f t="shared" si="5"/>
        <v>#N/A</v>
      </c>
      <c r="I104" s="99" t="s">
        <v>3</v>
      </c>
      <c r="J104" s="453" t="e">
        <f>K70</f>
        <v>#N/A</v>
      </c>
      <c r="K104" s="454" t="s">
        <v>457</v>
      </c>
      <c r="L104" s="251" t="e">
        <f>H104*J104</f>
        <v>#N/A</v>
      </c>
      <c r="M104" s="454" t="s">
        <v>4</v>
      </c>
      <c r="N104" s="453" t="e">
        <f>L104^2</f>
        <v>#N/A</v>
      </c>
      <c r="O104" s="454" t="s">
        <v>17</v>
      </c>
      <c r="P104" s="454" t="s">
        <v>103</v>
      </c>
      <c r="Q104" s="1233">
        <v>50</v>
      </c>
      <c r="R104" s="1298" t="e">
        <f t="shared" si="2"/>
        <v>#N/A</v>
      </c>
    </row>
    <row r="105" spans="1:90" s="21" customFormat="1" ht="39.950000000000003" customHeight="1" x14ac:dyDescent="0.25">
      <c r="A105" s="22"/>
      <c r="B105" s="1783" t="s">
        <v>104</v>
      </c>
      <c r="C105" s="1784"/>
      <c r="D105" s="477"/>
      <c r="E105" s="521" t="e">
        <f>VLOOKUP(D102,C13:K17,9,TRUE)</f>
        <v>#N/A</v>
      </c>
      <c r="F105" s="455" t="str">
        <f>F14</f>
        <v>°C</v>
      </c>
      <c r="G105" s="279">
        <f>SQRT(12)</f>
        <v>3.4641016151377544</v>
      </c>
      <c r="H105" s="251" t="e">
        <f t="shared" si="5"/>
        <v>#N/A</v>
      </c>
      <c r="I105" s="99" t="s">
        <v>3</v>
      </c>
      <c r="J105" s="453" t="e">
        <f>K70</f>
        <v>#N/A</v>
      </c>
      <c r="K105" s="454" t="s">
        <v>457</v>
      </c>
      <c r="L105" s="251" t="e">
        <f t="shared" si="3"/>
        <v>#N/A</v>
      </c>
      <c r="M105" s="454" t="s">
        <v>4</v>
      </c>
      <c r="N105" s="453" t="e">
        <f t="shared" si="4"/>
        <v>#N/A</v>
      </c>
      <c r="O105" s="454" t="s">
        <v>17</v>
      </c>
      <c r="P105" s="454" t="s">
        <v>5</v>
      </c>
      <c r="Q105" s="1233" t="s">
        <v>11</v>
      </c>
      <c r="R105" s="1298" t="e">
        <f t="shared" si="2"/>
        <v>#N/A</v>
      </c>
    </row>
    <row r="106" spans="1:90" s="21" customFormat="1" ht="39.950000000000003" customHeight="1" x14ac:dyDescent="0.25">
      <c r="A106" s="22"/>
      <c r="B106" s="1783" t="s">
        <v>108</v>
      </c>
      <c r="C106" s="1784"/>
      <c r="D106" s="451"/>
      <c r="E106" s="279" t="e">
        <f>(MAX(J44:J46)-(MIN(J44:J46)))</f>
        <v>#N/A</v>
      </c>
      <c r="F106" s="455" t="str">
        <f>F14</f>
        <v>°C</v>
      </c>
      <c r="G106" s="251">
        <f>SQRT(12)</f>
        <v>3.4641016151377544</v>
      </c>
      <c r="H106" s="251" t="e">
        <f t="shared" si="5"/>
        <v>#N/A</v>
      </c>
      <c r="I106" s="99" t="s">
        <v>3</v>
      </c>
      <c r="J106" s="453" t="e">
        <f>K70</f>
        <v>#N/A</v>
      </c>
      <c r="K106" s="454" t="s">
        <v>457</v>
      </c>
      <c r="L106" s="251" t="e">
        <f t="shared" si="3"/>
        <v>#N/A</v>
      </c>
      <c r="M106" s="454" t="s">
        <v>4</v>
      </c>
      <c r="N106" s="453" t="e">
        <f t="shared" si="4"/>
        <v>#N/A</v>
      </c>
      <c r="O106" s="454" t="s">
        <v>18</v>
      </c>
      <c r="P106" s="454" t="s">
        <v>5</v>
      </c>
      <c r="Q106" s="1233" t="s">
        <v>11</v>
      </c>
      <c r="R106" s="1298" t="e">
        <f t="shared" si="2"/>
        <v>#N/A</v>
      </c>
    </row>
    <row r="107" spans="1:90" s="21" customFormat="1" ht="45.95" customHeight="1" x14ac:dyDescent="0.25">
      <c r="A107" s="22"/>
      <c r="B107" s="1783" t="s">
        <v>160</v>
      </c>
      <c r="C107" s="1784"/>
      <c r="D107" s="478" t="e">
        <f>D37</f>
        <v>#N/A</v>
      </c>
      <c r="E107" s="1230" t="e">
        <f>D37</f>
        <v>#N/A</v>
      </c>
      <c r="F107" s="454" t="s">
        <v>10</v>
      </c>
      <c r="G107" s="538"/>
      <c r="H107" s="539"/>
      <c r="I107" s="141"/>
      <c r="J107" s="476"/>
      <c r="K107" s="141"/>
      <c r="L107" s="141"/>
      <c r="M107" s="141"/>
      <c r="N107" s="141"/>
      <c r="O107" s="141"/>
      <c r="P107" s="141"/>
      <c r="Q107" s="458"/>
      <c r="R107" s="1297"/>
    </row>
    <row r="108" spans="1:90" s="447" customFormat="1" ht="45.95" customHeight="1" x14ac:dyDescent="0.25">
      <c r="A108" s="22"/>
      <c r="B108" s="1783" t="s">
        <v>370</v>
      </c>
      <c r="C108" s="1784"/>
      <c r="D108" s="451"/>
      <c r="E108" s="1231" t="e">
        <f>(D37*5%)</f>
        <v>#N/A</v>
      </c>
      <c r="F108" s="454" t="s">
        <v>10</v>
      </c>
      <c r="G108" s="251">
        <f>SQRT(3)</f>
        <v>1.7320508075688772</v>
      </c>
      <c r="H108" s="251" t="e">
        <f>E108/G108</f>
        <v>#N/A</v>
      </c>
      <c r="I108" s="454" t="s">
        <v>10</v>
      </c>
      <c r="J108" s="521" t="e">
        <f>K76</f>
        <v>#N/A</v>
      </c>
      <c r="K108" s="1060" t="s">
        <v>603</v>
      </c>
      <c r="L108" s="251" t="e">
        <f t="shared" si="3"/>
        <v>#N/A</v>
      </c>
      <c r="M108" s="454" t="s">
        <v>4</v>
      </c>
      <c r="N108" s="453" t="e">
        <f t="shared" si="4"/>
        <v>#N/A</v>
      </c>
      <c r="O108" s="454" t="s">
        <v>110</v>
      </c>
      <c r="P108" s="454" t="s">
        <v>5</v>
      </c>
      <c r="Q108" s="1233" t="s">
        <v>11</v>
      </c>
      <c r="R108" s="1298" t="e">
        <f t="shared" si="2"/>
        <v>#N/A</v>
      </c>
      <c r="S108" s="21"/>
    </row>
    <row r="109" spans="1:90" s="480" customFormat="1" ht="45.95" customHeight="1" x14ac:dyDescent="0.25">
      <c r="A109" s="22"/>
      <c r="B109" s="1783" t="s">
        <v>369</v>
      </c>
      <c r="C109" s="1784"/>
      <c r="D109" s="246" t="s">
        <v>1</v>
      </c>
      <c r="E109" s="1231" t="e">
        <f>(D33*5%)</f>
        <v>#N/A</v>
      </c>
      <c r="F109" s="454" t="s">
        <v>10</v>
      </c>
      <c r="G109" s="251">
        <f>SQRT(3)</f>
        <v>1.7320508075688772</v>
      </c>
      <c r="H109" s="251" t="e">
        <f t="shared" si="5"/>
        <v>#N/A</v>
      </c>
      <c r="I109" s="454" t="s">
        <v>10</v>
      </c>
      <c r="J109" s="280" t="e">
        <f>K72</f>
        <v>#N/A</v>
      </c>
      <c r="K109" s="1060" t="s">
        <v>603</v>
      </c>
      <c r="L109" s="251" t="e">
        <f t="shared" si="3"/>
        <v>#N/A</v>
      </c>
      <c r="M109" s="454" t="s">
        <v>4</v>
      </c>
      <c r="N109" s="453" t="e">
        <f t="shared" si="4"/>
        <v>#N/A</v>
      </c>
      <c r="O109" s="454" t="s">
        <v>111</v>
      </c>
      <c r="P109" s="454" t="s">
        <v>5</v>
      </c>
      <c r="Q109" s="1233" t="s">
        <v>11</v>
      </c>
      <c r="R109" s="1298" t="e">
        <f t="shared" si="2"/>
        <v>#N/A</v>
      </c>
      <c r="S109" s="24"/>
      <c r="T109" s="24"/>
      <c r="U109" s="24"/>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c r="BY109" s="21"/>
      <c r="BZ109" s="21"/>
      <c r="CA109" s="21"/>
      <c r="CB109" s="21"/>
      <c r="CC109" s="21"/>
      <c r="CD109" s="21"/>
      <c r="CE109" s="21"/>
      <c r="CF109" s="21"/>
      <c r="CG109" s="21"/>
      <c r="CH109" s="21"/>
      <c r="CI109" s="21"/>
      <c r="CJ109" s="21"/>
      <c r="CK109" s="21"/>
      <c r="CL109" s="21"/>
    </row>
    <row r="110" spans="1:90" s="447" customFormat="1" ht="45.95" customHeight="1" x14ac:dyDescent="0.25">
      <c r="B110" s="1783" t="s">
        <v>369</v>
      </c>
      <c r="C110" s="1784"/>
      <c r="D110" s="246" t="s">
        <v>0</v>
      </c>
      <c r="E110" s="1231" t="e">
        <f>(F33*5%)</f>
        <v>#N/A</v>
      </c>
      <c r="F110" s="454" t="s">
        <v>10</v>
      </c>
      <c r="G110" s="251">
        <f>SQRT(3)</f>
        <v>1.7320508075688772</v>
      </c>
      <c r="H110" s="251" t="e">
        <f t="shared" si="5"/>
        <v>#N/A</v>
      </c>
      <c r="I110" s="454" t="s">
        <v>10</v>
      </c>
      <c r="J110" s="280" t="e">
        <f>K74</f>
        <v>#N/A</v>
      </c>
      <c r="K110" s="1060" t="s">
        <v>603</v>
      </c>
      <c r="L110" s="251" t="e">
        <f t="shared" si="3"/>
        <v>#N/A</v>
      </c>
      <c r="M110" s="454" t="s">
        <v>4</v>
      </c>
      <c r="N110" s="453" t="e">
        <f t="shared" si="4"/>
        <v>#N/A</v>
      </c>
      <c r="O110" s="454" t="s">
        <v>112</v>
      </c>
      <c r="P110" s="454" t="s">
        <v>5</v>
      </c>
      <c r="Q110" s="1233" t="s">
        <v>11</v>
      </c>
      <c r="R110" s="1298" t="e">
        <f t="shared" si="2"/>
        <v>#N/A</v>
      </c>
    </row>
    <row r="111" spans="1:90" s="21" customFormat="1" ht="45.95" customHeight="1" x14ac:dyDescent="0.25">
      <c r="A111" s="24"/>
      <c r="B111" s="1684" t="s">
        <v>369</v>
      </c>
      <c r="C111" s="1685"/>
      <c r="D111" s="1188" t="s">
        <v>28</v>
      </c>
      <c r="E111" s="1232" t="e">
        <f>(D36*7.5%)</f>
        <v>#N/A</v>
      </c>
      <c r="F111" s="1189" t="s">
        <v>10</v>
      </c>
      <c r="G111" s="1190">
        <f>SQRT(12)</f>
        <v>3.4641016151377544</v>
      </c>
      <c r="H111" s="1191" t="e">
        <f t="shared" si="5"/>
        <v>#N/A</v>
      </c>
      <c r="I111" s="1189" t="s">
        <v>10</v>
      </c>
      <c r="J111" s="1192">
        <f>K82</f>
        <v>1</v>
      </c>
      <c r="K111" s="1193" t="s">
        <v>603</v>
      </c>
      <c r="L111" s="1191" t="e">
        <f>H111*J111</f>
        <v>#N/A</v>
      </c>
      <c r="M111" s="1189" t="s">
        <v>4</v>
      </c>
      <c r="N111" s="1194" t="e">
        <f>L111^2</f>
        <v>#N/A</v>
      </c>
      <c r="O111" s="1189" t="s">
        <v>112</v>
      </c>
      <c r="P111" s="1189" t="s">
        <v>5</v>
      </c>
      <c r="Q111" s="1234" t="s">
        <v>11</v>
      </c>
      <c r="R111" s="1299" t="e">
        <f t="shared" si="2"/>
        <v>#N/A</v>
      </c>
    </row>
    <row r="112" spans="1:90" s="21" customFormat="1" ht="45.95" customHeight="1" thickBot="1" x14ac:dyDescent="0.3">
      <c r="A112" s="24"/>
      <c r="B112" s="1781" t="s">
        <v>627</v>
      </c>
      <c r="C112" s="1782"/>
      <c r="D112" s="1304"/>
      <c r="E112" s="1305">
        <v>0.25703300000000001</v>
      </c>
      <c r="F112" s="1300" t="s">
        <v>4</v>
      </c>
      <c r="G112" s="1306">
        <f>SQRT(9)</f>
        <v>3</v>
      </c>
      <c r="H112" s="1307">
        <f>E112/G112</f>
        <v>8.5677666666666666E-2</v>
      </c>
      <c r="I112" s="1300" t="s">
        <v>4</v>
      </c>
      <c r="J112" s="1308">
        <v>1</v>
      </c>
      <c r="K112" s="1300" t="s">
        <v>4</v>
      </c>
      <c r="L112" s="1307">
        <f>H112*J112</f>
        <v>8.5677666666666666E-2</v>
      </c>
      <c r="M112" s="1300" t="s">
        <v>4</v>
      </c>
      <c r="N112" s="1309">
        <f>L112^2</f>
        <v>7.3406625654444443E-3</v>
      </c>
      <c r="O112" s="1300" t="s">
        <v>618</v>
      </c>
      <c r="P112" s="1300" t="s">
        <v>609</v>
      </c>
      <c r="Q112" s="1310">
        <v>6</v>
      </c>
      <c r="R112" s="1300" t="e">
        <f t="shared" si="2"/>
        <v>#N/A</v>
      </c>
    </row>
    <row r="113" spans="1:31" s="21" customFormat="1" ht="30" customHeight="1" x14ac:dyDescent="0.25">
      <c r="A113" s="418"/>
      <c r="E113" s="483"/>
      <c r="R113" s="1210"/>
    </row>
    <row r="114" spans="1:31" s="21" customFormat="1" ht="30" customHeight="1" thickBot="1" x14ac:dyDescent="0.3">
      <c r="A114" s="418"/>
      <c r="B114" s="1785" t="s">
        <v>113</v>
      </c>
      <c r="C114" s="1786"/>
      <c r="D114" s="1786"/>
      <c r="E114" s="1786"/>
      <c r="F114" s="1786"/>
      <c r="G114" s="1786"/>
      <c r="H114" s="1786"/>
      <c r="I114" s="1786"/>
      <c r="J114" s="1786"/>
      <c r="K114" s="1786"/>
      <c r="L114" s="1786"/>
      <c r="M114" s="1786"/>
      <c r="N114" s="1786"/>
      <c r="O114" s="1786"/>
      <c r="P114" s="1786"/>
      <c r="Q114" s="1786"/>
      <c r="R114" s="1787"/>
    </row>
    <row r="115" spans="1:31" s="21" customFormat="1" ht="30" customHeight="1" x14ac:dyDescent="0.25">
      <c r="A115" s="22"/>
      <c r="B115" s="1686" t="s">
        <v>114</v>
      </c>
      <c r="C115" s="1687"/>
      <c r="D115" s="484"/>
      <c r="E115" s="275" t="e">
        <f>(PI()*(D34)^2/4)*D35</f>
        <v>#N/A</v>
      </c>
      <c r="F115" s="485" t="s">
        <v>4</v>
      </c>
      <c r="G115" s="275">
        <f>SQRT(3)</f>
        <v>1.7320508075688772</v>
      </c>
      <c r="H115" s="275" t="e">
        <f t="shared" ref="H115:H118" si="6">E115/G115</f>
        <v>#N/A</v>
      </c>
      <c r="I115" s="485" t="s">
        <v>4</v>
      </c>
      <c r="J115" s="275">
        <v>1</v>
      </c>
      <c r="K115" s="485"/>
      <c r="L115" s="275" t="e">
        <f t="shared" ref="L115:L118" si="7">H115*J115</f>
        <v>#N/A</v>
      </c>
      <c r="M115" s="485" t="s">
        <v>4</v>
      </c>
      <c r="N115" s="486" t="e">
        <f t="shared" ref="N115:N118" si="8">L115^2</f>
        <v>#N/A</v>
      </c>
      <c r="O115" s="485" t="s">
        <v>16</v>
      </c>
      <c r="P115" s="485" t="s">
        <v>5</v>
      </c>
      <c r="Q115" s="1235" t="s">
        <v>11</v>
      </c>
      <c r="R115" s="1301" t="e">
        <f t="shared" si="2"/>
        <v>#N/A</v>
      </c>
    </row>
    <row r="116" spans="1:31" s="21" customFormat="1" ht="30" customHeight="1" x14ac:dyDescent="0.25">
      <c r="B116" s="1688" t="s">
        <v>115</v>
      </c>
      <c r="C116" s="1689"/>
      <c r="D116" s="487"/>
      <c r="E116" s="279" t="e">
        <f>(PI()*(1.5/2)^2*F35)+(PI()*(F34/2)^2*F35)</f>
        <v>#N/A</v>
      </c>
      <c r="F116" s="454" t="s">
        <v>4</v>
      </c>
      <c r="G116" s="251">
        <f>SQRT(3)</f>
        <v>1.7320508075688772</v>
      </c>
      <c r="H116" s="251" t="e">
        <f>E116/G116</f>
        <v>#N/A</v>
      </c>
      <c r="I116" s="454" t="s">
        <v>4</v>
      </c>
      <c r="J116" s="251">
        <v>1</v>
      </c>
      <c r="K116" s="454"/>
      <c r="L116" s="251" t="e">
        <f t="shared" si="7"/>
        <v>#N/A</v>
      </c>
      <c r="M116" s="454" t="s">
        <v>4</v>
      </c>
      <c r="N116" s="453" t="e">
        <f t="shared" si="8"/>
        <v>#N/A</v>
      </c>
      <c r="O116" s="454" t="s">
        <v>16</v>
      </c>
      <c r="P116" s="454" t="s">
        <v>5</v>
      </c>
      <c r="Q116" s="1233" t="s">
        <v>11</v>
      </c>
      <c r="R116" s="1298" t="e">
        <f t="shared" si="2"/>
        <v>#N/A</v>
      </c>
    </row>
    <row r="117" spans="1:31" s="285" customFormat="1" ht="39.950000000000003" customHeight="1" x14ac:dyDescent="0.25">
      <c r="A117" s="283"/>
      <c r="B117" s="1688" t="s">
        <v>116</v>
      </c>
      <c r="C117" s="1689"/>
      <c r="D117" s="487"/>
      <c r="E117" s="488" t="e">
        <f>H59</f>
        <v>#N/A</v>
      </c>
      <c r="F117" s="454" t="s">
        <v>4</v>
      </c>
      <c r="G117" s="279">
        <f>SQRT(B46)</f>
        <v>1.7320508075688772</v>
      </c>
      <c r="H117" s="453" t="e">
        <f t="shared" si="6"/>
        <v>#N/A</v>
      </c>
      <c r="I117" s="454" t="s">
        <v>4</v>
      </c>
      <c r="J117" s="489">
        <v>1</v>
      </c>
      <c r="K117" s="454"/>
      <c r="L117" s="251" t="e">
        <f t="shared" si="7"/>
        <v>#N/A</v>
      </c>
      <c r="M117" s="454" t="s">
        <v>4</v>
      </c>
      <c r="N117" s="453" t="e">
        <f t="shared" si="8"/>
        <v>#N/A</v>
      </c>
      <c r="O117" s="454" t="s">
        <v>6</v>
      </c>
      <c r="P117" s="454" t="s">
        <v>103</v>
      </c>
      <c r="Q117" s="1233">
        <f>B46-1</f>
        <v>2</v>
      </c>
      <c r="R117" s="1298" t="e">
        <f t="shared" si="2"/>
        <v>#N/A</v>
      </c>
      <c r="S117" s="21"/>
      <c r="T117" s="21"/>
      <c r="U117" s="21"/>
    </row>
    <row r="118" spans="1:31" s="324" customFormat="1" ht="30" customHeight="1" thickBot="1" x14ac:dyDescent="0.3">
      <c r="A118" s="490" t="s">
        <v>117</v>
      </c>
      <c r="B118" s="1690" t="s">
        <v>118</v>
      </c>
      <c r="C118" s="1691"/>
      <c r="D118" s="804"/>
      <c r="E118" s="276" t="e">
        <f>C122*0.01%</f>
        <v>#N/A</v>
      </c>
      <c r="F118" s="481" t="s">
        <v>4</v>
      </c>
      <c r="G118" s="1001">
        <v>1</v>
      </c>
      <c r="H118" s="165" t="e">
        <f t="shared" si="6"/>
        <v>#N/A</v>
      </c>
      <c r="I118" s="481" t="s">
        <v>4</v>
      </c>
      <c r="J118" s="1001">
        <v>1</v>
      </c>
      <c r="K118" s="481"/>
      <c r="L118" s="165" t="e">
        <f t="shared" si="7"/>
        <v>#N/A</v>
      </c>
      <c r="M118" s="481" t="s">
        <v>4</v>
      </c>
      <c r="N118" s="482" t="e">
        <f t="shared" si="8"/>
        <v>#N/A</v>
      </c>
      <c r="O118" s="481" t="s">
        <v>119</v>
      </c>
      <c r="P118" s="481" t="s">
        <v>103</v>
      </c>
      <c r="Q118" s="1236" t="s">
        <v>11</v>
      </c>
      <c r="R118" s="1299" t="e">
        <f>(L118/$N$119)^2</f>
        <v>#N/A</v>
      </c>
      <c r="S118" s="21"/>
      <c r="T118" s="21"/>
      <c r="U118" s="21"/>
    </row>
    <row r="119" spans="1:31" s="324" customFormat="1" ht="45.75" customHeight="1" thickBot="1" x14ac:dyDescent="0.3">
      <c r="A119" s="22"/>
      <c r="L119" s="491"/>
      <c r="M119" s="492"/>
      <c r="N119" s="140" t="e">
        <f>SQRT(SUM(N89:N90,N93:N95,N98:N101,N103:N106,N108:N111,N112,N115,N116,N117,N118))</f>
        <v>#N/A</v>
      </c>
      <c r="R119" s="1302" t="e">
        <f>SUM(R89:R90,R93:R95,R98:R101,R103:R106,R108:R112,R114:R118)</f>
        <v>#N/A</v>
      </c>
      <c r="S119" s="21"/>
      <c r="T119" s="21"/>
      <c r="U119" s="21"/>
      <c r="V119" s="479"/>
      <c r="W119" s="479"/>
    </row>
    <row r="120" spans="1:31" s="324" customFormat="1" ht="41.25" customHeight="1" thickBot="1" x14ac:dyDescent="0.3">
      <c r="A120" s="22"/>
      <c r="B120" s="1646" t="s">
        <v>121</v>
      </c>
      <c r="C120" s="1647"/>
      <c r="D120" s="1647"/>
      <c r="E120" s="1647"/>
      <c r="F120" s="1647"/>
      <c r="G120" s="1647"/>
      <c r="H120" s="1647"/>
      <c r="I120" s="1647"/>
      <c r="J120" s="1648"/>
      <c r="K120" s="22"/>
      <c r="L120" s="1680" t="s">
        <v>120</v>
      </c>
      <c r="M120" s="1681"/>
      <c r="N120" s="252" t="e">
        <f>E122*N119</f>
        <v>#N/A</v>
      </c>
      <c r="O120" s="22"/>
      <c r="P120" s="22"/>
      <c r="R120" s="90"/>
      <c r="S120" s="21"/>
      <c r="T120" s="21"/>
      <c r="U120" s="21"/>
      <c r="V120" s="479"/>
      <c r="W120" s="479"/>
    </row>
    <row r="121" spans="1:31" s="21" customFormat="1" ht="34.5" customHeight="1" thickBot="1" x14ac:dyDescent="0.3">
      <c r="A121" s="24"/>
      <c r="B121" s="493"/>
      <c r="C121" s="494" t="s">
        <v>458</v>
      </c>
      <c r="D121" s="495" t="s">
        <v>459</v>
      </c>
      <c r="E121" s="495" t="s">
        <v>94</v>
      </c>
      <c r="F121" s="495" t="s">
        <v>7</v>
      </c>
      <c r="G121" s="495" t="s">
        <v>460</v>
      </c>
      <c r="H121" s="495" t="s">
        <v>8</v>
      </c>
      <c r="I121" s="495" t="s">
        <v>122</v>
      </c>
      <c r="J121" s="496" t="s">
        <v>123</v>
      </c>
      <c r="K121" s="497"/>
      <c r="L121" s="1682" t="s">
        <v>380</v>
      </c>
      <c r="M121" s="1683"/>
      <c r="N121" s="139" t="e">
        <f>(N119^4)/((L89^4/Q89)+(L99^4/Q99)+(L104^4/Q104)+(L93^4/Q93)+(L112^4/Q112)+(L117^4/Q117))</f>
        <v>#N/A</v>
      </c>
      <c r="O121" s="22"/>
    </row>
    <row r="122" spans="1:31" s="21" customFormat="1" ht="30" customHeight="1" thickBot="1" x14ac:dyDescent="0.3">
      <c r="A122" s="24"/>
      <c r="B122" s="806" t="s">
        <v>4</v>
      </c>
      <c r="C122" s="1022" t="e">
        <f>H58</f>
        <v>#N/A</v>
      </c>
      <c r="D122" s="500" t="e">
        <f>N119</f>
        <v>#N/A</v>
      </c>
      <c r="E122" s="1692">
        <v>2</v>
      </c>
      <c r="F122" s="500" t="e">
        <f>(D122*E122)</f>
        <v>#N/A</v>
      </c>
      <c r="G122" s="1695">
        <v>95</v>
      </c>
      <c r="H122" s="500" t="e">
        <f>C122-C7</f>
        <v>#N/A</v>
      </c>
      <c r="I122" s="500" t="e">
        <f>ABS(H122)</f>
        <v>#N/A</v>
      </c>
      <c r="J122" s="501" t="e">
        <f>F122*I122</f>
        <v>#N/A</v>
      </c>
      <c r="K122" s="502"/>
      <c r="O122" s="24"/>
    </row>
    <row r="123" spans="1:31" s="21" customFormat="1" ht="30" customHeight="1" thickBot="1" x14ac:dyDescent="0.3">
      <c r="A123" s="24"/>
      <c r="B123" s="807" t="s">
        <v>461</v>
      </c>
      <c r="C123" s="279" t="e">
        <f>C122/L30</f>
        <v>#N/A</v>
      </c>
      <c r="D123" s="348" t="e">
        <f>D122/K28</f>
        <v>#N/A</v>
      </c>
      <c r="E123" s="1693"/>
      <c r="F123" s="348" t="e">
        <f>D123*E122</f>
        <v>#N/A</v>
      </c>
      <c r="G123" s="1696"/>
      <c r="H123" s="348" t="e">
        <f>H122/L30</f>
        <v>#N/A</v>
      </c>
      <c r="I123" s="348" t="e">
        <f>ABS(H123)</f>
        <v>#N/A</v>
      </c>
      <c r="J123" s="434" t="e">
        <f>F123*I123</f>
        <v>#N/A</v>
      </c>
      <c r="K123" s="24"/>
      <c r="M123" s="1641" t="s">
        <v>94</v>
      </c>
      <c r="N123" s="1645"/>
      <c r="O123" s="24"/>
      <c r="P123" s="1019">
        <v>0.3</v>
      </c>
      <c r="Q123" s="505">
        <v>1.65</v>
      </c>
    </row>
    <row r="124" spans="1:31" s="22" customFormat="1" ht="36.75" customHeight="1" thickBot="1" x14ac:dyDescent="0.3">
      <c r="B124" s="807" t="s">
        <v>9</v>
      </c>
      <c r="C124" s="509" t="e">
        <f>C123/L27</f>
        <v>#N/A</v>
      </c>
      <c r="D124" s="805" t="e">
        <f>D123/L27</f>
        <v>#N/A</v>
      </c>
      <c r="E124" s="1693"/>
      <c r="F124" s="509" t="e">
        <f>D124*E122</f>
        <v>#N/A</v>
      </c>
      <c r="G124" s="1696"/>
      <c r="H124" s="509" t="e">
        <f>H123/L27</f>
        <v>#N/A</v>
      </c>
      <c r="I124" s="509" t="e">
        <f>ABS(H124)</f>
        <v>#N/A</v>
      </c>
      <c r="J124" s="510" t="e">
        <f>F124*I124</f>
        <v>#N/A</v>
      </c>
      <c r="M124" s="1020" t="e">
        <f>_xlfn.T.INV.2T(0.05,N121)</f>
        <v>#N/A</v>
      </c>
      <c r="N124" s="1021" t="e">
        <f>TINV(0.05,N121)</f>
        <v>#N/A</v>
      </c>
      <c r="P124" s="1778" t="s">
        <v>336</v>
      </c>
      <c r="Q124" s="1779"/>
      <c r="R124" s="1780"/>
      <c r="S124" s="21"/>
      <c r="T124" s="21"/>
      <c r="U124" s="21"/>
      <c r="V124" s="513"/>
      <c r="W124" s="513"/>
      <c r="X124" s="513"/>
      <c r="Y124" s="513"/>
      <c r="Z124" s="513"/>
      <c r="AA124" s="513"/>
    </row>
    <row r="125" spans="1:31" s="21" customFormat="1" ht="42" customHeight="1" thickBot="1" x14ac:dyDescent="0.3">
      <c r="A125" s="24"/>
      <c r="B125" s="78" t="s">
        <v>274</v>
      </c>
      <c r="C125" s="363" t="e">
        <f>(C122*100)/C7</f>
        <v>#N/A</v>
      </c>
      <c r="D125" s="808" t="e">
        <f>(D124/C124)</f>
        <v>#N/A</v>
      </c>
      <c r="E125" s="1694"/>
      <c r="F125" s="170" t="e">
        <f>(D125*E122)*100</f>
        <v>#N/A</v>
      </c>
      <c r="G125" s="1697"/>
      <c r="H125" s="808" t="e">
        <f>(H124*100)/M27</f>
        <v>#N/A</v>
      </c>
      <c r="I125" s="516" t="e">
        <f>(I124*100)/M27</f>
        <v>#N/A</v>
      </c>
      <c r="J125" s="514" t="e">
        <f>(J124*100)/M27</f>
        <v>#N/A</v>
      </c>
      <c r="K125" s="24"/>
      <c r="L125" s="24"/>
      <c r="M125" s="1058" t="s">
        <v>326</v>
      </c>
      <c r="N125" s="181" t="e">
        <f>MAX(N89:N112,N115:N118)</f>
        <v>#N/A</v>
      </c>
      <c r="O125" s="182" t="e">
        <f>IF((N126)&lt;=(P123),"1,65","k=2")</f>
        <v>#N/A</v>
      </c>
      <c r="P125" s="184" t="s">
        <v>331</v>
      </c>
      <c r="Q125" s="185" t="s">
        <v>332</v>
      </c>
      <c r="R125" s="186" t="s">
        <v>333</v>
      </c>
      <c r="V125" s="1664"/>
      <c r="W125" s="1664"/>
      <c r="X125" s="1664"/>
      <c r="Y125" s="324"/>
      <c r="Z125" s="324"/>
      <c r="AA125" s="324"/>
      <c r="AB125" s="324"/>
      <c r="AC125" s="324"/>
      <c r="AD125" s="324"/>
      <c r="AE125" s="324"/>
    </row>
    <row r="126" spans="1:31" s="21" customFormat="1" ht="30" customHeight="1" thickBot="1" x14ac:dyDescent="0.3">
      <c r="C126" s="517"/>
      <c r="D126" s="409"/>
      <c r="E126" s="518"/>
      <c r="G126" s="825"/>
      <c r="H126" s="826"/>
      <c r="K126" s="22"/>
      <c r="L126" s="22"/>
      <c r="M126" s="1059" t="s">
        <v>335</v>
      </c>
      <c r="N126" s="183" t="e">
        <f>(SQRT(SUM(N89,N90,N93:N95,N98:N101,N103:N106,N108:N110,N111,N112,N116,N117,N118)))/N125</f>
        <v>#N/A</v>
      </c>
      <c r="O126" s="22"/>
      <c r="P126" s="187" t="s">
        <v>331</v>
      </c>
      <c r="Q126" s="188" t="s">
        <v>337</v>
      </c>
      <c r="R126" s="189" t="s">
        <v>334</v>
      </c>
      <c r="V126" s="1663"/>
      <c r="W126" s="1663"/>
      <c r="X126" s="1663"/>
    </row>
    <row r="127" spans="1:31" x14ac:dyDescent="0.2">
      <c r="G127" s="827"/>
      <c r="H127" s="828"/>
    </row>
  </sheetData>
  <sheetProtection password="CF5C" sheet="1" objects="1" scenarios="1"/>
  <mergeCells count="138">
    <mergeCell ref="P124:R124"/>
    <mergeCell ref="B112:C112"/>
    <mergeCell ref="B105:C105"/>
    <mergeCell ref="B106:C106"/>
    <mergeCell ref="B107:C107"/>
    <mergeCell ref="B108:C108"/>
    <mergeCell ref="B109:C109"/>
    <mergeCell ref="B110:C110"/>
    <mergeCell ref="B99:C99"/>
    <mergeCell ref="B100:C100"/>
    <mergeCell ref="B101:C101"/>
    <mergeCell ref="B102:C102"/>
    <mergeCell ref="B103:C103"/>
    <mergeCell ref="B104:C104"/>
    <mergeCell ref="B114:R114"/>
    <mergeCell ref="B92:C92"/>
    <mergeCell ref="B93:C93"/>
    <mergeCell ref="B94:C94"/>
    <mergeCell ref="B95:C95"/>
    <mergeCell ref="B97:C97"/>
    <mergeCell ref="B98:C98"/>
    <mergeCell ref="B87:C87"/>
    <mergeCell ref="B88:C88"/>
    <mergeCell ref="B89:C89"/>
    <mergeCell ref="A90:A91"/>
    <mergeCell ref="B90:C90"/>
    <mergeCell ref="B91:C91"/>
    <mergeCell ref="B72:F72"/>
    <mergeCell ref="B74:F74"/>
    <mergeCell ref="B76:F76"/>
    <mergeCell ref="B78:D78"/>
    <mergeCell ref="B80:D80"/>
    <mergeCell ref="B82:D82"/>
    <mergeCell ref="B86:R86"/>
    <mergeCell ref="B64:L64"/>
    <mergeCell ref="B66:D66"/>
    <mergeCell ref="B68:E68"/>
    <mergeCell ref="B70:E70"/>
    <mergeCell ref="O54:O55"/>
    <mergeCell ref="E55:F55"/>
    <mergeCell ref="E56:F56"/>
    <mergeCell ref="O56:O57"/>
    <mergeCell ref="E57:F57"/>
    <mergeCell ref="E58:G58"/>
    <mergeCell ref="E54:F54"/>
    <mergeCell ref="E59:G59"/>
    <mergeCell ref="D1:R1"/>
    <mergeCell ref="D3:E3"/>
    <mergeCell ref="G3:H3"/>
    <mergeCell ref="J3:K3"/>
    <mergeCell ref="M3:N3"/>
    <mergeCell ref="P3:R3"/>
    <mergeCell ref="N19:N20"/>
    <mergeCell ref="M19:M20"/>
    <mergeCell ref="A1:C1"/>
    <mergeCell ref="B32:C32"/>
    <mergeCell ref="B33:C33"/>
    <mergeCell ref="B34:C34"/>
    <mergeCell ref="I25:I26"/>
    <mergeCell ref="J25:J26"/>
    <mergeCell ref="A5:R5"/>
    <mergeCell ref="S19:S20"/>
    <mergeCell ref="B24:G24"/>
    <mergeCell ref="I24:R24"/>
    <mergeCell ref="D26:E26"/>
    <mergeCell ref="B26:C26"/>
    <mergeCell ref="R25:R26"/>
    <mergeCell ref="O25:O26"/>
    <mergeCell ref="P25:P26"/>
    <mergeCell ref="Q25:Q26"/>
    <mergeCell ref="Q6:R6"/>
    <mergeCell ref="A8:A12"/>
    <mergeCell ref="A13:A17"/>
    <mergeCell ref="O19:O20"/>
    <mergeCell ref="P19:P20"/>
    <mergeCell ref="B31:C31"/>
    <mergeCell ref="D27:E27"/>
    <mergeCell ref="D28:E28"/>
    <mergeCell ref="F26:G26"/>
    <mergeCell ref="B27:C27"/>
    <mergeCell ref="B28:C28"/>
    <mergeCell ref="B29:C29"/>
    <mergeCell ref="B30:C30"/>
    <mergeCell ref="K19:K20"/>
    <mergeCell ref="L19:L20"/>
    <mergeCell ref="K25:K26"/>
    <mergeCell ref="L25:L26"/>
    <mergeCell ref="M25:M26"/>
    <mergeCell ref="I19:I20"/>
    <mergeCell ref="J19:J20"/>
    <mergeCell ref="B19:B20"/>
    <mergeCell ref="C19:C20"/>
    <mergeCell ref="D19:D20"/>
    <mergeCell ref="E19:E20"/>
    <mergeCell ref="F19:F20"/>
    <mergeCell ref="G19:G20"/>
    <mergeCell ref="F27:G27"/>
    <mergeCell ref="F28:G28"/>
    <mergeCell ref="H19:H20"/>
    <mergeCell ref="D25:E25"/>
    <mergeCell ref="F25:G25"/>
    <mergeCell ref="V126:X126"/>
    <mergeCell ref="V125:X125"/>
    <mergeCell ref="Q45:Y45"/>
    <mergeCell ref="I35:P35"/>
    <mergeCell ref="I36:K36"/>
    <mergeCell ref="L36:N36"/>
    <mergeCell ref="I37:J37"/>
    <mergeCell ref="L37:M37"/>
    <mergeCell ref="I38:J38"/>
    <mergeCell ref="L38:M38"/>
    <mergeCell ref="I39:J39"/>
    <mergeCell ref="L39:M39"/>
    <mergeCell ref="B120:J120"/>
    <mergeCell ref="L120:M120"/>
    <mergeCell ref="L121:M121"/>
    <mergeCell ref="M123:N123"/>
    <mergeCell ref="B111:C111"/>
    <mergeCell ref="B115:C115"/>
    <mergeCell ref="B116:C116"/>
    <mergeCell ref="B117:C117"/>
    <mergeCell ref="B118:C118"/>
    <mergeCell ref="E122:E125"/>
    <mergeCell ref="G122:G125"/>
    <mergeCell ref="E60:G60"/>
    <mergeCell ref="I33:J33"/>
    <mergeCell ref="N33:O33"/>
    <mergeCell ref="B42:G42"/>
    <mergeCell ref="I42:N42"/>
    <mergeCell ref="E53:L53"/>
    <mergeCell ref="B41:N41"/>
    <mergeCell ref="B47:F47"/>
    <mergeCell ref="I47:M47"/>
    <mergeCell ref="B35:C35"/>
    <mergeCell ref="B36:C36"/>
    <mergeCell ref="B37:C37"/>
    <mergeCell ref="B39:C39"/>
    <mergeCell ref="D39:G39"/>
  </mergeCells>
  <conditionalFormatting sqref="Q36">
    <cfRule type="colorScale" priority="6">
      <colorScale>
        <cfvo type="min"/>
        <cfvo type="percentile" val="50"/>
        <cfvo type="max"/>
        <color rgb="FFF8696B"/>
        <color rgb="FFFFEB84"/>
        <color rgb="FF63BE7B"/>
      </colorScale>
    </cfRule>
  </conditionalFormatting>
  <conditionalFormatting sqref="Q54">
    <cfRule type="containsText" dxfId="11" priority="3" operator="containsText" text="NO AJUSTAR">
      <formula>NOT(ISERROR(SEARCH("NO AJUSTAR",Q54)))</formula>
    </cfRule>
    <cfRule type="containsText" dxfId="10" priority="5" operator="containsText" text="AJUSTAR">
      <formula>NOT(ISERROR(SEARCH("AJUSTAR",Q54)))</formula>
    </cfRule>
  </conditionalFormatting>
  <conditionalFormatting sqref="Q56">
    <cfRule type="containsText" dxfId="9" priority="1" operator="containsText" text="NO AJUSTAR">
      <formula>NOT(ISERROR(SEARCH("NO AJUSTAR",Q56)))</formula>
    </cfRule>
    <cfRule type="containsText" dxfId="8" priority="2" operator="containsText" text="AJUSTAR">
      <formula>NOT(ISERROR(SEARCH("AJUSTAR",Q56)))</formula>
    </cfRule>
  </conditionalFormatting>
  <pageMargins left="0.70866141732283472" right="0.70866141732283472" top="0.74803149606299213" bottom="0.74803149606299213" header="0.31496062992125984" footer="0.31496062992125984"/>
  <pageSetup scale="24" orientation="portrait" horizontalDpi="4294967293" r:id="rId1"/>
  <headerFooter>
    <oddFooter>&amp;RRT03-F11 Vr.11 (2021-05-10)</oddFooter>
  </headerFooter>
  <rowBreaks count="1" manualBreakCount="1">
    <brk id="60" max="24" man="1"/>
  </rowBreaks>
  <ignoredErrors>
    <ignoredError sqref="G117" formula="1"/>
  </ignoredErrors>
  <drawing r:id="rId2"/>
  <legacyDrawing r:id="rId3"/>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0100-000000000000}">
          <x14:formula1>
            <xm:f>'DATOS %'!$A$39:$A$40</xm:f>
          </x14:formula1>
          <xm:sqref>O43</xm:sqref>
        </x14:dataValidation>
        <x14:dataValidation type="list" allowBlank="1" showInputMessage="1" showErrorMessage="1" xr:uid="{00000000-0002-0000-0100-000001000000}">
          <x14:formula1>
            <xm:f>'DATOS %'!$A$45:$A$46</xm:f>
          </x14:formula1>
          <xm:sqref>A43</xm:sqref>
        </x14:dataValidation>
        <x14:dataValidation type="list" allowBlank="1" showInputMessage="1" showErrorMessage="1" xr:uid="{00000000-0002-0000-0100-000002000000}">
          <x14:formula1>
            <xm:f>'DATOS %'!$C$43:$C$48</xm:f>
          </x14:formula1>
          <xm:sqref>S8:S12</xm:sqref>
        </x14:dataValidation>
        <x14:dataValidation type="list" allowBlank="1" showInputMessage="1" showErrorMessage="1" xr:uid="{00000000-0002-0000-0100-000003000000}">
          <x14:formula1>
            <xm:f>'DATOS %'!$C$37:$C$42</xm:f>
          </x14:formula1>
          <xm:sqref>S13:S17</xm:sqref>
        </x14:dataValidation>
        <x14:dataValidation type="list" allowBlank="1" showInputMessage="1" showErrorMessage="1" xr:uid="{00000000-0002-0000-0100-000004000000}">
          <x14:formula1>
            <xm:f>'DATOS %'!$P$9:$P$13</xm:f>
          </x14:formula1>
          <xm:sqref>H39</xm:sqref>
        </x14:dataValidation>
        <x14:dataValidation type="list" allowBlank="1" showInputMessage="1" showErrorMessage="1" xr:uid="{00000000-0002-0000-0100-000005000000}">
          <x14:formula1>
            <xm:f>'DATOS %'!$B$158:$B$163</xm:f>
          </x14:formula1>
          <xm:sqref>Q36</xm:sqref>
        </x14:dataValidation>
        <x14:dataValidation type="list" allowBlank="1" showInputMessage="1" showErrorMessage="1" xr:uid="{00000000-0002-0000-0100-000006000000}">
          <x14:formula1>
            <xm:f>'DATOS %'!$B$14:$B$16</xm:f>
          </x14:formula1>
          <xm:sqref>H26</xm:sqref>
        </x14:dataValidation>
        <x14:dataValidation type="list" allowBlank="1" showInputMessage="1" showErrorMessage="1" xr:uid="{00000000-0002-0000-0100-000007000000}">
          <x14:formula1>
            <xm:f>'DATOS %'!$D$7:$D$9</xm:f>
          </x14:formula1>
          <xm:sqref>S3</xm:sqref>
        </x14:dataValidation>
        <x14:dataValidation type="list" allowBlank="1" showInputMessage="1" showErrorMessage="1" xr:uid="{00000000-0002-0000-0100-000008000000}">
          <x14:formula1>
            <xm:f>'DATOS %'!$B$24:$B$26</xm:f>
          </x14:formula1>
          <xm:sqref>A26</xm:sqref>
        </x14:dataValidation>
        <x14:dataValidation type="list" allowBlank="1" showInputMessage="1" showErrorMessage="1" xr:uid="{00000000-0002-0000-0100-000009000000}">
          <x14:formula1>
            <xm:f>'DATOS %'!$C$137:$C$152</xm:f>
          </x14:formula1>
          <xm:sqref>S22</xm:sqref>
        </x14:dataValidation>
        <x14:dataValidation type="list" allowBlank="1" showInputMessage="1" showErrorMessage="1" xr:uid="{00000000-0002-0000-0100-00000A000000}">
          <x14:formula1>
            <xm:f>'DATOS %'!$C$131:$C$132</xm:f>
          </x14:formula1>
          <xm:sqref>S21</xm:sqref>
        </x14:dataValidation>
        <x14:dataValidation type="list" allowBlank="1" showInputMessage="1" showErrorMessage="1" xr:uid="{00000000-0002-0000-0100-00000B000000}">
          <x14:formula1>
            <xm:f>'DATOS %'!$C$121:$C$127</xm:f>
          </x14:formula1>
          <xm:sqref>S19:S20</xm:sqref>
        </x14:dataValidation>
        <x14:dataValidation type="list" allowBlank="1" showInputMessage="1" showErrorMessage="1" xr:uid="{00000000-0002-0000-0100-00000C000000}">
          <x14:formula1>
            <xm:f>'DATOS %'!$C$112:$C$117</xm:f>
          </x14:formula1>
          <xm:sqref>S18</xm:sqref>
        </x14:dataValidation>
        <x14:dataValidation type="list" allowBlank="1" showInputMessage="1" showErrorMessage="1" xr:uid="{00000000-0002-0000-0100-00000D000000}">
          <x14:formula1>
            <xm:f>'DATOS %'!$C$30:$C$32</xm:f>
          </x14:formula1>
          <xm:sqref>S7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66CC"/>
  </sheetPr>
  <dimension ref="A1:CL126"/>
  <sheetViews>
    <sheetView showGridLines="0" view="pageBreakPreview" topLeftCell="J118" zoomScale="85" zoomScaleNormal="40" zoomScaleSheetLayoutView="85" workbookViewId="0">
      <selection activeCell="H79" sqref="H79"/>
    </sheetView>
  </sheetViews>
  <sheetFormatPr baseColWidth="10" defaultColWidth="11.42578125" defaultRowHeight="15" x14ac:dyDescent="0.2"/>
  <cols>
    <col min="1" max="1" width="20.7109375" style="5" customWidth="1"/>
    <col min="2" max="2" width="18" style="5" customWidth="1"/>
    <col min="3" max="3" width="14.5703125" style="5" customWidth="1"/>
    <col min="4" max="4" width="15.28515625" style="5" customWidth="1"/>
    <col min="5" max="5" width="17.42578125" style="5" customWidth="1"/>
    <col min="6" max="6" width="11.5703125" style="5" customWidth="1"/>
    <col min="7" max="7" width="14.42578125" style="5" customWidth="1"/>
    <col min="8" max="8" width="16.28515625" style="5" customWidth="1"/>
    <col min="9" max="9" width="13.85546875" style="5" customWidth="1"/>
    <col min="10" max="10" width="15.28515625" style="5" customWidth="1"/>
    <col min="11" max="11" width="12.7109375" style="5" customWidth="1"/>
    <col min="12" max="12" width="15.85546875" style="5" customWidth="1"/>
    <col min="13" max="13" width="17.140625" style="5" customWidth="1"/>
    <col min="14" max="14" width="16.85546875" style="5" customWidth="1"/>
    <col min="15" max="15" width="21" style="5" customWidth="1"/>
    <col min="16" max="16" width="16.85546875" style="5" customWidth="1"/>
    <col min="17" max="17" width="13.5703125" style="5" customWidth="1"/>
    <col min="18" max="18" width="19.42578125" style="5" customWidth="1"/>
    <col min="19" max="24" width="11.42578125" style="5"/>
    <col min="25" max="25" width="11.7109375" style="5" customWidth="1"/>
    <col min="26" max="16384" width="11.42578125" style="5"/>
  </cols>
  <sheetData>
    <row r="1" spans="1:19" s="21" customFormat="1" ht="75" customHeight="1" thickBot="1" x14ac:dyDescent="0.3">
      <c r="A1" s="1752"/>
      <c r="B1" s="1753"/>
      <c r="C1" s="220"/>
      <c r="D1" s="1743" t="s">
        <v>308</v>
      </c>
      <c r="E1" s="1744"/>
      <c r="F1" s="1744"/>
      <c r="G1" s="1744"/>
      <c r="H1" s="1744"/>
      <c r="I1" s="1744"/>
      <c r="J1" s="1744"/>
      <c r="K1" s="1744"/>
      <c r="L1" s="1744"/>
      <c r="M1" s="1744"/>
      <c r="N1" s="1744"/>
      <c r="O1" s="1744"/>
      <c r="P1" s="1744"/>
      <c r="Q1" s="1744"/>
      <c r="R1" s="1745"/>
      <c r="S1" s="281"/>
    </row>
    <row r="2" spans="1:19" s="285" customFormat="1" ht="5.0999999999999996" customHeight="1" thickBot="1" x14ac:dyDescent="0.3">
      <c r="A2" s="282"/>
      <c r="B2" s="282"/>
      <c r="C2" s="283"/>
      <c r="D2" s="284"/>
      <c r="E2" s="284"/>
      <c r="F2" s="284"/>
      <c r="G2" s="284"/>
      <c r="H2" s="284"/>
      <c r="I2" s="284"/>
      <c r="J2" s="284"/>
      <c r="K2" s="284"/>
      <c r="L2" s="284"/>
      <c r="M2" s="284"/>
      <c r="N2" s="284"/>
      <c r="O2" s="284"/>
      <c r="P2" s="284"/>
      <c r="Q2" s="284"/>
      <c r="R2" s="284"/>
    </row>
    <row r="3" spans="1:19" s="24" customFormat="1" ht="30" customHeight="1" thickBot="1" x14ac:dyDescent="0.3">
      <c r="A3" s="286" t="s">
        <v>44</v>
      </c>
      <c r="B3" s="529" t="e">
        <f>VLOOKUP($S3,'DATOS %'!$D$7:$N$19,2,FALSE)</f>
        <v>#N/A</v>
      </c>
      <c r="C3" s="288" t="s">
        <v>165</v>
      </c>
      <c r="D3" s="1746" t="e">
        <f>VLOOKUP($S$3,'DATOS %'!$D$7:$N$19,3,FALSE)</f>
        <v>#N/A</v>
      </c>
      <c r="E3" s="1747"/>
      <c r="F3" s="288" t="s">
        <v>306</v>
      </c>
      <c r="G3" s="1748" t="e">
        <f>VLOOKUP($S$3,'DATOS %'!$D$7:$N$19,7,FALSE)</f>
        <v>#N/A</v>
      </c>
      <c r="H3" s="1748"/>
      <c r="I3" s="288" t="s">
        <v>166</v>
      </c>
      <c r="J3" s="1748" t="e">
        <f>VLOOKUP($S$3,'DATOS %'!$D$7:$N$19,4,FALSE)</f>
        <v>#N/A</v>
      </c>
      <c r="K3" s="1748"/>
      <c r="L3" s="288" t="s">
        <v>26</v>
      </c>
      <c r="M3" s="1746" t="e">
        <f>VLOOKUP($S$3,'DATOS %'!$D$7:$N$19,6,FALSE)</f>
        <v>#N/A</v>
      </c>
      <c r="N3" s="1747"/>
      <c r="O3" s="813" t="s">
        <v>300</v>
      </c>
      <c r="P3" s="1748" t="e">
        <f>VLOOKUP($S$3,'DATOS %'!$D$7:$N$19,11,FALSE)</f>
        <v>#N/A</v>
      </c>
      <c r="Q3" s="1748"/>
      <c r="R3" s="1749"/>
      <c r="S3" s="289"/>
    </row>
    <row r="4" spans="1:19" s="24" customFormat="1" ht="5.0999999999999996" customHeight="1" thickBot="1" x14ac:dyDescent="0.3"/>
    <row r="5" spans="1:19" s="24" customFormat="1" ht="30" customHeight="1" thickBot="1" x14ac:dyDescent="0.3">
      <c r="A5" s="1649" t="s">
        <v>53</v>
      </c>
      <c r="B5" s="1650"/>
      <c r="C5" s="1650"/>
      <c r="D5" s="1650"/>
      <c r="E5" s="1650"/>
      <c r="F5" s="1650"/>
      <c r="G5" s="1650"/>
      <c r="H5" s="1650"/>
      <c r="I5" s="1650"/>
      <c r="J5" s="1650"/>
      <c r="K5" s="1650"/>
      <c r="L5" s="1650"/>
      <c r="M5" s="1650"/>
      <c r="N5" s="1650"/>
      <c r="O5" s="1650"/>
      <c r="P5" s="1650"/>
      <c r="Q5" s="1650"/>
      <c r="R5" s="1651"/>
    </row>
    <row r="6" spans="1:19" s="21" customFormat="1" ht="64.5" customHeight="1" thickBot="1" x14ac:dyDescent="0.3">
      <c r="A6" s="290" t="s">
        <v>14</v>
      </c>
      <c r="B6" s="527" t="s">
        <v>157</v>
      </c>
      <c r="C6" s="291" t="s">
        <v>449</v>
      </c>
      <c r="D6" s="291" t="s">
        <v>54</v>
      </c>
      <c r="E6" s="291" t="s">
        <v>156</v>
      </c>
      <c r="F6" s="291" t="s">
        <v>54</v>
      </c>
      <c r="G6" s="291" t="s">
        <v>199</v>
      </c>
      <c r="H6" s="291" t="s">
        <v>54</v>
      </c>
      <c r="I6" s="291" t="s">
        <v>154</v>
      </c>
      <c r="J6" s="291" t="s">
        <v>54</v>
      </c>
      <c r="K6" s="785" t="s">
        <v>475</v>
      </c>
      <c r="L6" s="291" t="s">
        <v>54</v>
      </c>
      <c r="M6" s="291" t="s">
        <v>307</v>
      </c>
      <c r="N6" s="291" t="s">
        <v>54</v>
      </c>
      <c r="O6" s="291" t="s">
        <v>200</v>
      </c>
      <c r="P6" s="291" t="s">
        <v>155</v>
      </c>
      <c r="Q6" s="1721" t="s">
        <v>171</v>
      </c>
      <c r="R6" s="1722"/>
    </row>
    <row r="7" spans="1:19" s="21" customFormat="1" ht="29.25" customHeight="1" thickBot="1" x14ac:dyDescent="0.3">
      <c r="A7" s="292" t="s">
        <v>1</v>
      </c>
      <c r="B7" s="293" t="e">
        <f>VLOOKUP(S7,'DATOS %'!C31:O33,3,FALSE)</f>
        <v>#N/A</v>
      </c>
      <c r="C7" s="294" t="e">
        <f>VLOOKUP(S7,'DATOS %'!C31:O33,4,FALSE)</f>
        <v>#N/A</v>
      </c>
      <c r="D7" s="295" t="s">
        <v>4</v>
      </c>
      <c r="E7" s="296" t="e">
        <f>VLOOKUP(S7,'DATOS %'!C31:O33,5,FALSE)</f>
        <v>#N/A</v>
      </c>
      <c r="F7" s="295" t="s">
        <v>4</v>
      </c>
      <c r="G7" s="294" t="e">
        <f>VLOOKUP(S7,'DATOS %'!C31:O33,6,FALSE)</f>
        <v>#N/A</v>
      </c>
      <c r="H7" s="295" t="s">
        <v>55</v>
      </c>
      <c r="I7" s="297" t="e">
        <f>VLOOKUP(S7,'DATOS %'!C31:O33,7,FALSE)</f>
        <v>#N/A</v>
      </c>
      <c r="J7" s="295" t="s">
        <v>4</v>
      </c>
      <c r="K7" s="815" t="e">
        <f>VLOOKUP(S7,'DATOS %'!C31:O33,13,FALSE)</f>
        <v>#N/A</v>
      </c>
      <c r="L7" s="814" t="s">
        <v>4</v>
      </c>
      <c r="M7" s="298" t="e">
        <f t="shared" ref="M7:M19" si="0">SQRT((I7/2)^2+(K7/SQRT(12))^2)</f>
        <v>#N/A</v>
      </c>
      <c r="N7" s="295" t="s">
        <v>4</v>
      </c>
      <c r="O7" s="296" t="e">
        <f>VLOOKUP(S7,'DATOS %'!C31:O33,8,FALSE)</f>
        <v>#N/A</v>
      </c>
      <c r="P7" s="299" t="e">
        <f>VLOOKUP(S7,'DATOS %'!C31:O33,9,FALSE)</f>
        <v>#N/A</v>
      </c>
      <c r="Q7" s="300"/>
      <c r="R7" s="301"/>
      <c r="S7" s="302"/>
    </row>
    <row r="8" spans="1:19" s="21" customFormat="1" ht="30" customHeight="1" x14ac:dyDescent="0.25">
      <c r="A8" s="1734" t="s">
        <v>56</v>
      </c>
      <c r="B8" s="303" t="e">
        <f>VLOOKUP(S8,'DATOS %'!$C$37:$R$48,3,FALSE)</f>
        <v>#N/A</v>
      </c>
      <c r="C8" s="304" t="e">
        <f>VLOOKUP(S8,'DATOS %'!$C$37:$R$50,4,FALSE)</f>
        <v>#N/A</v>
      </c>
      <c r="D8" s="305" t="s">
        <v>3</v>
      </c>
      <c r="E8" s="304" t="e">
        <f>VLOOKUP(S8,'DATOS %'!$C$37:$R$50,5,FALSE)</f>
        <v>#N/A</v>
      </c>
      <c r="F8" s="306" t="s">
        <v>3</v>
      </c>
      <c r="G8" s="304" t="e">
        <f>VLOOKUP(S8,'DATOS %'!$C$37:$R$50,6,FALSE)</f>
        <v>#N/A</v>
      </c>
      <c r="H8" s="306" t="s">
        <v>3</v>
      </c>
      <c r="I8" s="304" t="e">
        <f>VLOOKUP(S8,'DATOS %'!$C$37:$R$50,7,FALSE)</f>
        <v>#N/A</v>
      </c>
      <c r="J8" s="306" t="s">
        <v>3</v>
      </c>
      <c r="K8" s="816" t="e">
        <f>VLOOKUP(S8,'DATOS %'!$C$37:$R$50,16,FALSE)</f>
        <v>#N/A</v>
      </c>
      <c r="L8" s="306" t="s">
        <v>3</v>
      </c>
      <c r="M8" s="298" t="e">
        <f t="shared" si="0"/>
        <v>#N/A</v>
      </c>
      <c r="N8" s="306" t="s">
        <v>3</v>
      </c>
      <c r="O8" s="307" t="e">
        <f>VLOOKUP(S8,'DATOS %'!$C$37:$R$50,8,FALSE)</f>
        <v>#N/A</v>
      </c>
      <c r="P8" s="299" t="e">
        <f>VLOOKUP(S8,'DATOS %'!$C$37:$R$50,9,FALSE)</f>
        <v>#N/A</v>
      </c>
      <c r="Q8" s="536"/>
      <c r="R8" s="111"/>
      <c r="S8" s="308"/>
    </row>
    <row r="9" spans="1:19" s="21" customFormat="1" ht="30" customHeight="1" x14ac:dyDescent="0.25">
      <c r="A9" s="1735"/>
      <c r="B9" s="303" t="e">
        <f>VLOOKUP(S9,'DATOS %'!$C$37:$R$48,3,FALSE)</f>
        <v>#N/A</v>
      </c>
      <c r="C9" s="304" t="e">
        <f>VLOOKUP(S9,'DATOS %'!$C$37:$R$50,4,FALSE)</f>
        <v>#N/A</v>
      </c>
      <c r="D9" s="305" t="s">
        <v>3</v>
      </c>
      <c r="E9" s="304" t="e">
        <f>VLOOKUP(S9,'DATOS %'!$C$37:$R$50,5,FALSE)</f>
        <v>#N/A</v>
      </c>
      <c r="F9" s="306" t="s">
        <v>3</v>
      </c>
      <c r="G9" s="304" t="e">
        <f>VLOOKUP(S9,'DATOS %'!$C$37:$R$50,6,FALSE)</f>
        <v>#N/A</v>
      </c>
      <c r="H9" s="306" t="s">
        <v>3</v>
      </c>
      <c r="I9" s="304" t="e">
        <f>VLOOKUP(S9,'DATOS %'!$C$37:$R$50,7,FALSE)</f>
        <v>#N/A</v>
      </c>
      <c r="J9" s="306" t="s">
        <v>3</v>
      </c>
      <c r="K9" s="816" t="e">
        <f>VLOOKUP(S9,'DATOS %'!$C$37:$R$50,16,FALSE)</f>
        <v>#N/A</v>
      </c>
      <c r="L9" s="306" t="s">
        <v>3</v>
      </c>
      <c r="M9" s="298" t="e">
        <f t="shared" si="0"/>
        <v>#N/A</v>
      </c>
      <c r="N9" s="306" t="s">
        <v>3</v>
      </c>
      <c r="O9" s="307" t="e">
        <f>VLOOKUP(S9,'DATOS %'!$C$37:$R$50,8,FALSE)</f>
        <v>#N/A</v>
      </c>
      <c r="P9" s="299" t="e">
        <f>VLOOKUP(S9,'DATOS %'!$C$37:$R$50,9,FALSE)</f>
        <v>#N/A</v>
      </c>
      <c r="Q9" s="309"/>
      <c r="R9" s="310"/>
      <c r="S9" s="311"/>
    </row>
    <row r="10" spans="1:19" s="21" customFormat="1" ht="30" customHeight="1" x14ac:dyDescent="0.25">
      <c r="A10" s="1735"/>
      <c r="B10" s="303" t="e">
        <f>VLOOKUP(S10,'DATOS %'!$C$37:$R$48,3,FALSE)</f>
        <v>#N/A</v>
      </c>
      <c r="C10" s="304" t="e">
        <f>VLOOKUP(S10,'DATOS %'!$C$37:$R$50,4,FALSE)</f>
        <v>#N/A</v>
      </c>
      <c r="D10" s="305" t="s">
        <v>3</v>
      </c>
      <c r="E10" s="304" t="e">
        <f>VLOOKUP(S10,'DATOS %'!$C$37:$R$50,5,FALSE)</f>
        <v>#N/A</v>
      </c>
      <c r="F10" s="306" t="s">
        <v>213</v>
      </c>
      <c r="G10" s="304" t="e">
        <f>VLOOKUP(S10,'DATOS %'!$C$37:$R$50,6,FALSE)</f>
        <v>#N/A</v>
      </c>
      <c r="H10" s="306" t="s">
        <v>3</v>
      </c>
      <c r="I10" s="312" t="e">
        <f>VLOOKUP(S10,'DATOS %'!$C$37:$R$50,7,FALSE)</f>
        <v>#N/A</v>
      </c>
      <c r="J10" s="306" t="s">
        <v>3</v>
      </c>
      <c r="K10" s="816" t="e">
        <f>VLOOKUP(S10,'DATOS %'!$C$37:$R$50,16,FALSE)</f>
        <v>#N/A</v>
      </c>
      <c r="L10" s="306" t="s">
        <v>3</v>
      </c>
      <c r="M10" s="298" t="e">
        <f t="shared" si="0"/>
        <v>#N/A</v>
      </c>
      <c r="N10" s="306" t="s">
        <v>3</v>
      </c>
      <c r="O10" s="307" t="e">
        <f>VLOOKUP(S10,'DATOS %'!$C$37:$R$50,8,FALSE)</f>
        <v>#N/A</v>
      </c>
      <c r="P10" s="299" t="e">
        <f>VLOOKUP(S10,'DATOS %'!$C$37:$R$50,9,FALSE)</f>
        <v>#N/A</v>
      </c>
      <c r="Q10" s="309"/>
      <c r="R10" s="111"/>
      <c r="S10" s="311"/>
    </row>
    <row r="11" spans="1:19" s="285" customFormat="1" ht="30" customHeight="1" x14ac:dyDescent="0.25">
      <c r="A11" s="1735"/>
      <c r="B11" s="303" t="e">
        <f>VLOOKUP(S11,'DATOS %'!$C$37:$R$50,3,FALSE)</f>
        <v>#N/A</v>
      </c>
      <c r="C11" s="304" t="e">
        <f>VLOOKUP(S11,'DATOS %'!$C$37:$R$50,4,FALSE)</f>
        <v>#N/A</v>
      </c>
      <c r="D11" s="305" t="s">
        <v>3</v>
      </c>
      <c r="E11" s="304" t="e">
        <f>VLOOKUP(S11,'DATOS %'!$C$37:$R$50,5,FALSE)</f>
        <v>#N/A</v>
      </c>
      <c r="F11" s="306" t="s">
        <v>213</v>
      </c>
      <c r="G11" s="304" t="e">
        <f>VLOOKUP(S11,'DATOS %'!$C$37:$R$50,6,FALSE)</f>
        <v>#N/A</v>
      </c>
      <c r="H11" s="306" t="s">
        <v>3</v>
      </c>
      <c r="I11" s="304" t="e">
        <f>VLOOKUP(S11,'DATOS %'!$C$37:$R$50,7,FALSE)</f>
        <v>#N/A</v>
      </c>
      <c r="J11" s="306" t="s">
        <v>3</v>
      </c>
      <c r="K11" s="816" t="e">
        <f>VLOOKUP(S11,'DATOS %'!$C$37:$R$50,16,FALSE)</f>
        <v>#N/A</v>
      </c>
      <c r="L11" s="306" t="s">
        <v>3</v>
      </c>
      <c r="M11" s="298" t="e">
        <f t="shared" si="0"/>
        <v>#N/A</v>
      </c>
      <c r="N11" s="306" t="s">
        <v>3</v>
      </c>
      <c r="O11" s="307" t="e">
        <f>VLOOKUP(S11,'DATOS %'!$C$37:$R$50,8,FALSE)</f>
        <v>#N/A</v>
      </c>
      <c r="P11" s="299" t="e">
        <f>VLOOKUP(S11,'DATOS %'!$C$37:$R$50,9,FALSE)</f>
        <v>#N/A</v>
      </c>
      <c r="Q11" s="309"/>
      <c r="R11" s="313"/>
      <c r="S11" s="311"/>
    </row>
    <row r="12" spans="1:19" s="285" customFormat="1" ht="30" customHeight="1" thickBot="1" x14ac:dyDescent="0.3">
      <c r="A12" s="1736"/>
      <c r="B12" s="303" t="e">
        <f>VLOOKUP(S12,'DATOS %'!$C$37:$R$50,3,FALSE)</f>
        <v>#N/A</v>
      </c>
      <c r="C12" s="304" t="e">
        <f>VLOOKUP(S12,'DATOS %'!$C$37:$R$50,4,FALSE)</f>
        <v>#N/A</v>
      </c>
      <c r="D12" s="305" t="s">
        <v>3</v>
      </c>
      <c r="E12" s="304" t="e">
        <f>VLOOKUP(S12,'DATOS %'!$C$37:$R$50,5,FALSE)</f>
        <v>#N/A</v>
      </c>
      <c r="F12" s="306" t="s">
        <v>213</v>
      </c>
      <c r="G12" s="304" t="e">
        <f>VLOOKUP(S12,'DATOS %'!$C$37:$R$50,6,FALSE)</f>
        <v>#N/A</v>
      </c>
      <c r="H12" s="306" t="s">
        <v>3</v>
      </c>
      <c r="I12" s="304" t="e">
        <f>VLOOKUP(S12,'DATOS %'!$C$37:$R$50,7,FALSE)</f>
        <v>#N/A</v>
      </c>
      <c r="J12" s="306" t="s">
        <v>3</v>
      </c>
      <c r="K12" s="816" t="e">
        <f>VLOOKUP(S12,'DATOS %'!$C$37:$R$50,16,FALSE)</f>
        <v>#N/A</v>
      </c>
      <c r="L12" s="306" t="s">
        <v>3</v>
      </c>
      <c r="M12" s="298" t="e">
        <f t="shared" si="0"/>
        <v>#N/A</v>
      </c>
      <c r="N12" s="306" t="s">
        <v>3</v>
      </c>
      <c r="O12" s="307" t="e">
        <f>VLOOKUP(S12,'DATOS %'!$C$37:$R$50,8,FALSE)</f>
        <v>#N/A</v>
      </c>
      <c r="P12" s="299" t="e">
        <f>VLOOKUP(S12,'DATOS %'!$C$37:$R$50,9,FALSE)</f>
        <v>#N/A</v>
      </c>
      <c r="Q12" s="309"/>
      <c r="R12" s="313"/>
      <c r="S12" s="314"/>
    </row>
    <row r="13" spans="1:19" s="285" customFormat="1" ht="30" customHeight="1" x14ac:dyDescent="0.25">
      <c r="A13" s="1734" t="s">
        <v>57</v>
      </c>
      <c r="B13" s="303" t="e">
        <f>VLOOKUP(S13,'DATOS %'!$C$37:$R$50,3,FALSE)</f>
        <v>#N/A</v>
      </c>
      <c r="C13" s="304" t="e">
        <f>VLOOKUP(S13,'DATOS %'!$C$37:$R$50,4,FALSE)</f>
        <v>#N/A</v>
      </c>
      <c r="D13" s="305" t="s">
        <v>3</v>
      </c>
      <c r="E13" s="304" t="e">
        <f>VLOOKUP(S13,'DATOS %'!$C$37:$R$50,5,FALSE)</f>
        <v>#N/A</v>
      </c>
      <c r="F13" s="306" t="s">
        <v>3</v>
      </c>
      <c r="G13" s="304" t="e">
        <f>VLOOKUP(S13,'DATOS %'!$C$37:$R$50,6,FALSE)</f>
        <v>#N/A</v>
      </c>
      <c r="H13" s="306" t="s">
        <v>3</v>
      </c>
      <c r="I13" s="304" t="e">
        <f>VLOOKUP(S13,'DATOS %'!$C$37:$R$50,7,FALSE)</f>
        <v>#N/A</v>
      </c>
      <c r="J13" s="306" t="s">
        <v>3</v>
      </c>
      <c r="K13" s="816" t="e">
        <f>VLOOKUP(S13,'DATOS %'!$C$37:$R$50,16,FALSE)</f>
        <v>#N/A</v>
      </c>
      <c r="L13" s="306" t="s">
        <v>3</v>
      </c>
      <c r="M13" s="298" t="e">
        <f t="shared" si="0"/>
        <v>#N/A</v>
      </c>
      <c r="N13" s="306" t="s">
        <v>3</v>
      </c>
      <c r="O13" s="307" t="e">
        <f>VLOOKUP(S13,'DATOS %'!$C$37:$R$50,8,FALSE)</f>
        <v>#N/A</v>
      </c>
      <c r="P13" s="299" t="e">
        <f>VLOOKUP(S13,'DATOS %'!$C$37:$R$50,9,FALSE)</f>
        <v>#N/A</v>
      </c>
      <c r="Q13" s="309"/>
      <c r="R13" s="111"/>
      <c r="S13" s="308"/>
    </row>
    <row r="14" spans="1:19" s="285" customFormat="1" ht="30" customHeight="1" x14ac:dyDescent="0.25">
      <c r="A14" s="1735"/>
      <c r="B14" s="303" t="e">
        <f>VLOOKUP(S14,'DATOS %'!$C$39:$R$48,3,FALSE)</f>
        <v>#N/A</v>
      </c>
      <c r="C14" s="304" t="e">
        <f>VLOOKUP(S14,'DATOS %'!$C$37:$R$50,4,FALSE)</f>
        <v>#N/A</v>
      </c>
      <c r="D14" s="305" t="s">
        <v>3</v>
      </c>
      <c r="E14" s="304" t="e">
        <f>VLOOKUP(S14,'DATOS %'!$C$37:$R$50,5,FALSE)</f>
        <v>#N/A</v>
      </c>
      <c r="F14" s="306" t="s">
        <v>3</v>
      </c>
      <c r="G14" s="304" t="e">
        <f>VLOOKUP(S14,'DATOS %'!$C$37:$R$50,6,FALSE)</f>
        <v>#N/A</v>
      </c>
      <c r="H14" s="306" t="s">
        <v>3</v>
      </c>
      <c r="I14" s="304" t="e">
        <f>VLOOKUP(S14,'DATOS %'!$C$37:$R$50,7,FALSE)</f>
        <v>#N/A</v>
      </c>
      <c r="J14" s="306" t="s">
        <v>3</v>
      </c>
      <c r="K14" s="816" t="e">
        <f>VLOOKUP(S14,'DATOS %'!$C$37:$R$50,16,FALSE)</f>
        <v>#N/A</v>
      </c>
      <c r="L14" s="306" t="s">
        <v>3</v>
      </c>
      <c r="M14" s="298" t="e">
        <f t="shared" si="0"/>
        <v>#N/A</v>
      </c>
      <c r="N14" s="306" t="s">
        <v>3</v>
      </c>
      <c r="O14" s="307" t="e">
        <f>VLOOKUP(S14,'DATOS %'!$C$37:$R$50,8,FALSE)</f>
        <v>#N/A</v>
      </c>
      <c r="P14" s="299" t="e">
        <f>VLOOKUP(S14,'DATOS %'!$C$37:$R$50,9,FALSE)</f>
        <v>#N/A</v>
      </c>
      <c r="Q14" s="309"/>
      <c r="R14" s="111"/>
      <c r="S14" s="311"/>
    </row>
    <row r="15" spans="1:19" s="285" customFormat="1" ht="30" customHeight="1" x14ac:dyDescent="0.25">
      <c r="A15" s="1735"/>
      <c r="B15" s="303" t="e">
        <f>VLOOKUP(S15,'DATOS %'!$C$39:$R$48,3,FALSE)</f>
        <v>#N/A</v>
      </c>
      <c r="C15" s="304" t="e">
        <f>VLOOKUP(S15,'DATOS %'!$C$37:$R$50,4,FALSE)</f>
        <v>#N/A</v>
      </c>
      <c r="D15" s="305" t="s">
        <v>3</v>
      </c>
      <c r="E15" s="304" t="e">
        <f>VLOOKUP(S15,'DATOS %'!$C$37:$R$50,5,FALSE)</f>
        <v>#N/A</v>
      </c>
      <c r="F15" s="306" t="s">
        <v>3</v>
      </c>
      <c r="G15" s="304" t="e">
        <f>VLOOKUP(S15,'DATOS %'!$C$37:$R$50,6,FALSE)</f>
        <v>#N/A</v>
      </c>
      <c r="H15" s="306" t="s">
        <v>3</v>
      </c>
      <c r="I15" s="304" t="e">
        <f>VLOOKUP(S15,'DATOS %'!$C$37:$R$50,7,FALSE)</f>
        <v>#N/A</v>
      </c>
      <c r="J15" s="306" t="s">
        <v>3</v>
      </c>
      <c r="K15" s="816" t="e">
        <f>VLOOKUP(S15,'DATOS %'!$C$37:$R$50,16,FALSE)</f>
        <v>#N/A</v>
      </c>
      <c r="L15" s="306" t="s">
        <v>3</v>
      </c>
      <c r="M15" s="298" t="e">
        <f t="shared" si="0"/>
        <v>#N/A</v>
      </c>
      <c r="N15" s="306" t="s">
        <v>3</v>
      </c>
      <c r="O15" s="307" t="e">
        <f>VLOOKUP(S15,'DATOS %'!$C$37:$R$50,8,FALSE)</f>
        <v>#N/A</v>
      </c>
      <c r="P15" s="299" t="e">
        <f>VLOOKUP(S15,'DATOS %'!$C$37:$R$50,9,FALSE)</f>
        <v>#N/A</v>
      </c>
      <c r="Q15" s="309"/>
      <c r="R15" s="111"/>
      <c r="S15" s="311"/>
    </row>
    <row r="16" spans="1:19" s="285" customFormat="1" ht="30" customHeight="1" x14ac:dyDescent="0.25">
      <c r="A16" s="1735"/>
      <c r="B16" s="303" t="e">
        <f>VLOOKUP(S16,'DATOS %'!$C$37:$R$50,3,FALSE)</f>
        <v>#N/A</v>
      </c>
      <c r="C16" s="304" t="e">
        <f>VLOOKUP(S16,'DATOS %'!$C$37:$R$50,4,FALSE)</f>
        <v>#N/A</v>
      </c>
      <c r="D16" s="305" t="s">
        <v>3</v>
      </c>
      <c r="E16" s="304" t="e">
        <f>VLOOKUP(S16,'DATOS %'!$C$37:$R$50,5,FALSE)</f>
        <v>#N/A</v>
      </c>
      <c r="F16" s="306" t="s">
        <v>3</v>
      </c>
      <c r="G16" s="304" t="e">
        <f>VLOOKUP(S16,'DATOS %'!$C$37:$R$50,6,FALSE)</f>
        <v>#N/A</v>
      </c>
      <c r="H16" s="306" t="s">
        <v>3</v>
      </c>
      <c r="I16" s="315" t="e">
        <f>VLOOKUP(S16,'DATOS %'!$C$37:$R$50,7,FALSE)</f>
        <v>#N/A</v>
      </c>
      <c r="J16" s="306" t="s">
        <v>3</v>
      </c>
      <c r="K16" s="816" t="e">
        <f>VLOOKUP(S16,'DATOS %'!$C$37:$R$50,16,FALSE)</f>
        <v>#N/A</v>
      </c>
      <c r="L16" s="306" t="s">
        <v>3</v>
      </c>
      <c r="M16" s="298" t="e">
        <f t="shared" si="0"/>
        <v>#N/A</v>
      </c>
      <c r="N16" s="306" t="s">
        <v>3</v>
      </c>
      <c r="O16" s="307" t="e">
        <f>VLOOKUP(S16,'DATOS %'!$C$37:$R$50,8,FALSE)</f>
        <v>#N/A</v>
      </c>
      <c r="P16" s="299" t="e">
        <f>VLOOKUP(S16,'DATOS %'!$C$37:$R$50,9,FALSE)</f>
        <v>#N/A</v>
      </c>
      <c r="Q16" s="309"/>
      <c r="R16" s="313"/>
      <c r="S16" s="311"/>
    </row>
    <row r="17" spans="1:20" s="285" customFormat="1" ht="30" customHeight="1" thickBot="1" x14ac:dyDescent="0.3">
      <c r="A17" s="1736"/>
      <c r="B17" s="303" t="e">
        <f>VLOOKUP(S17,'DATOS %'!$C$37:$R$50,3,FALSE)</f>
        <v>#N/A</v>
      </c>
      <c r="C17" s="304" t="e">
        <f>VLOOKUP(S17,'DATOS %'!$C$37:$R$50,4,FALSE)</f>
        <v>#N/A</v>
      </c>
      <c r="D17" s="305" t="s">
        <v>3</v>
      </c>
      <c r="E17" s="304" t="e">
        <f>VLOOKUP(S17,'DATOS %'!$C$37:$R$50,5,FALSE)</f>
        <v>#N/A</v>
      </c>
      <c r="F17" s="306" t="s">
        <v>3</v>
      </c>
      <c r="G17" s="304" t="e">
        <f>VLOOKUP(S17,'DATOS %'!$C$37:$R$50,6,FALSE)</f>
        <v>#N/A</v>
      </c>
      <c r="H17" s="306" t="s">
        <v>3</v>
      </c>
      <c r="I17" s="315" t="e">
        <f>VLOOKUP(S17,'DATOS %'!$C$37:$R$50,7,FALSE)</f>
        <v>#N/A</v>
      </c>
      <c r="J17" s="306" t="s">
        <v>3</v>
      </c>
      <c r="K17" s="816" t="e">
        <f>VLOOKUP(S17,'DATOS %'!$C$37:$R$50,16,FALSE)</f>
        <v>#N/A</v>
      </c>
      <c r="L17" s="306" t="s">
        <v>3</v>
      </c>
      <c r="M17" s="298" t="e">
        <f t="shared" si="0"/>
        <v>#N/A</v>
      </c>
      <c r="N17" s="306" t="s">
        <v>3</v>
      </c>
      <c r="O17" s="307" t="e">
        <f>VLOOKUP(S17,'DATOS %'!$C$37:$R$50,8,FALSE)</f>
        <v>#N/A</v>
      </c>
      <c r="P17" s="299" t="e">
        <f>VLOOKUP(S17,'DATOS %'!$C$37:$R$50,9,FALSE)</f>
        <v>#N/A</v>
      </c>
      <c r="Q17" s="309"/>
      <c r="R17" s="313"/>
      <c r="S17" s="314"/>
    </row>
    <row r="18" spans="1:20" s="285" customFormat="1" ht="81" customHeight="1" thickBot="1" x14ac:dyDescent="0.3">
      <c r="A18" s="316" t="s">
        <v>161</v>
      </c>
      <c r="B18" s="317" t="e">
        <f>VLOOKUP(S18,'DATOS %'!$C$112:$W$118,3,FALSE)</f>
        <v>#N/A</v>
      </c>
      <c r="C18" s="315" t="e">
        <f>VLOOKUP(S18,'DATOS %'!$C$112:$W$118,4,FALSE)</f>
        <v>#N/A</v>
      </c>
      <c r="D18" s="305" t="s">
        <v>4</v>
      </c>
      <c r="E18" s="315" t="e">
        <f>VLOOKUP(S18,'DATOS %'!$C$112:$W$118,5,FALSE)</f>
        <v>#N/A</v>
      </c>
      <c r="F18" s="305" t="s">
        <v>4</v>
      </c>
      <c r="G18" s="315" t="e">
        <f>VLOOKUP(S18,'DATOS %'!$C$112:$W$118,6,FALSE)</f>
        <v>#N/A</v>
      </c>
      <c r="H18" s="305" t="s">
        <v>4</v>
      </c>
      <c r="I18" s="315" t="e">
        <f>VLOOKUP(S18,'DATOS %'!$C$112:$W$118,7,FALSE)</f>
        <v>#N/A</v>
      </c>
      <c r="J18" s="318" t="s">
        <v>4</v>
      </c>
      <c r="K18" s="817" t="e">
        <f>VLOOKUP(S18,'DATOS %'!$C$112:$W$118,21,FALSE)</f>
        <v>#N/A</v>
      </c>
      <c r="L18" s="305" t="s">
        <v>4</v>
      </c>
      <c r="M18" s="298" t="e">
        <f t="shared" si="0"/>
        <v>#N/A</v>
      </c>
      <c r="N18" s="305" t="s">
        <v>4</v>
      </c>
      <c r="O18" s="307" t="e">
        <f>VLOOKUP(S18,'DATOS %'!$C$112:$W$118,8,FALSE)</f>
        <v>#N/A</v>
      </c>
      <c r="P18" s="299" t="e">
        <f>VLOOKUP(S18,'DATOS %'!$C$112:$W$118,9,FALSE)</f>
        <v>#N/A</v>
      </c>
      <c r="Q18" s="319" t="s">
        <v>508</v>
      </c>
      <c r="R18" s="320" t="s">
        <v>510</v>
      </c>
      <c r="S18" s="321"/>
    </row>
    <row r="19" spans="1:20" s="324" customFormat="1" ht="30" customHeight="1" x14ac:dyDescent="0.25">
      <c r="A19" s="316" t="s">
        <v>162</v>
      </c>
      <c r="B19" s="1712" t="e">
        <f>VLOOKUP(S19,'DATOS %'!$C$121:$AA$128,3,FALSE)</f>
        <v>#N/A</v>
      </c>
      <c r="C19" s="1714" t="e">
        <f>VLOOKUP(S19,'DATOS %'!$C$121:$AA$128,4,FALSE)</f>
        <v>#N/A</v>
      </c>
      <c r="D19" s="1710" t="s">
        <v>4</v>
      </c>
      <c r="E19" s="1708" t="e">
        <f>VLOOKUP(S19,'DATOS %'!$C$121:$AA$128,5,FALSE)</f>
        <v>#N/A</v>
      </c>
      <c r="F19" s="1710" t="s">
        <v>4</v>
      </c>
      <c r="G19" s="1714" t="e">
        <f>VLOOKUP(S19,'DATOS %'!$C$121:$AA$128,6,FALSE)</f>
        <v>#N/A</v>
      </c>
      <c r="H19" s="1710" t="s">
        <v>4</v>
      </c>
      <c r="I19" s="1708" t="e">
        <f>VLOOKUP(S19,'DATOS %'!$C$121:$AA$128,7,FALSE)</f>
        <v>#N/A</v>
      </c>
      <c r="J19" s="1710" t="s">
        <v>4</v>
      </c>
      <c r="K19" s="1792" t="e">
        <f>VLOOKUP(S19,'DATOS %'!$C$121:$AA$128,25,FALSE)</f>
        <v>#N/A</v>
      </c>
      <c r="L19" s="1702" t="s">
        <v>4</v>
      </c>
      <c r="M19" s="1750" t="e">
        <f t="shared" si="0"/>
        <v>#N/A</v>
      </c>
      <c r="N19" s="1702" t="s">
        <v>4</v>
      </c>
      <c r="O19" s="1708" t="e">
        <f>VLOOKUP(S19,'DATOS %'!$C$121:$AA$128,8,FALSE)</f>
        <v>#N/A</v>
      </c>
      <c r="P19" s="1737" t="e">
        <f>VLOOKUP(S19,'DATOS %'!$C$121:$AA$128,9,FALSE)</f>
        <v>#N/A</v>
      </c>
      <c r="Q19" s="322" t="e">
        <f>VLOOKUP(S19,'DATOS %'!$C$121:$AA$128,12,FALSE)</f>
        <v>#N/A</v>
      </c>
      <c r="R19" s="323" t="e">
        <f>VLOOKUP(S19,'DATOS %'!$C$121:$AA$128,14,FALSE)</f>
        <v>#N/A</v>
      </c>
      <c r="S19" s="1725"/>
    </row>
    <row r="20" spans="1:20" s="21" customFormat="1" ht="30" customHeight="1" thickBot="1" x14ac:dyDescent="0.3">
      <c r="A20" s="325"/>
      <c r="B20" s="1713"/>
      <c r="C20" s="1715"/>
      <c r="D20" s="1711"/>
      <c r="E20" s="1709"/>
      <c r="F20" s="1711"/>
      <c r="G20" s="1715"/>
      <c r="H20" s="1711"/>
      <c r="I20" s="1709"/>
      <c r="J20" s="1711"/>
      <c r="K20" s="1792"/>
      <c r="L20" s="1703"/>
      <c r="M20" s="1751"/>
      <c r="N20" s="1703"/>
      <c r="O20" s="1709"/>
      <c r="P20" s="1738"/>
      <c r="Q20" s="326" t="e">
        <f>VLOOKUP(S19,'DATOS %'!$C$121:$AA$128,13,FALSE)</f>
        <v>#N/A</v>
      </c>
      <c r="R20" s="327" t="e">
        <f>VLOOKUP(S19,'DATOS %'!$C$121:$AA$128,15,FALSE)</f>
        <v>#N/A</v>
      </c>
      <c r="S20" s="1726"/>
    </row>
    <row r="21" spans="1:20" s="22" customFormat="1" ht="27.75" customHeight="1" thickBot="1" x14ac:dyDescent="0.3">
      <c r="A21" s="328" t="s">
        <v>365</v>
      </c>
      <c r="B21" s="317" t="e">
        <f>VLOOKUP(S21,'DATOS %'!$C$131:$K$132,3,FALSE)</f>
        <v>#N/A</v>
      </c>
      <c r="C21" s="307" t="e">
        <f>VLOOKUP(S21,'DATOS %'!$C$131:$K$132,4,FALSE)</f>
        <v>#N/A</v>
      </c>
      <c r="D21" s="305" t="s">
        <v>159</v>
      </c>
      <c r="E21" s="329" t="e">
        <f>VLOOKUP(S21,'DATOS %'!$C$131:$K$132,5,FALSE)</f>
        <v>#N/A</v>
      </c>
      <c r="F21" s="305" t="s">
        <v>159</v>
      </c>
      <c r="G21" s="330" t="e">
        <f>VLOOKUP(S21,'DATOS %'!$C$131:$K$132,6,FALSE)</f>
        <v>#N/A</v>
      </c>
      <c r="H21" s="305" t="s">
        <v>159</v>
      </c>
      <c r="I21" s="330" t="e">
        <f>VLOOKUP(S21,'DATOS %'!$C$131:$K$132,7,FALSE)</f>
        <v>#N/A</v>
      </c>
      <c r="J21" s="318" t="s">
        <v>159</v>
      </c>
      <c r="K21" s="331" t="e">
        <f>(I21/2)/SQRT(12)</f>
        <v>#N/A</v>
      </c>
      <c r="L21" s="305" t="s">
        <v>159</v>
      </c>
      <c r="M21" s="298" t="e">
        <f t="shared" ref="M21:M22" si="1">SQRT((I21/2)^2+(K21)^2)</f>
        <v>#N/A</v>
      </c>
      <c r="N21" s="332" t="s">
        <v>159</v>
      </c>
      <c r="O21" s="9" t="e">
        <f>VLOOKUP(S21,'DATOS %'!$C$131:$K$132,8,FALSE)</f>
        <v>#N/A</v>
      </c>
      <c r="P21" s="299" t="e">
        <f>VLOOKUP(S21,'DATOS %'!$C$131:$K$132,9,FALSE)</f>
        <v>#N/A</v>
      </c>
      <c r="Q21" s="333"/>
      <c r="R21" s="334"/>
      <c r="S21" s="302"/>
    </row>
    <row r="22" spans="1:20" s="21" customFormat="1" ht="30" customHeight="1" thickBot="1" x14ac:dyDescent="0.3">
      <c r="A22" s="335" t="s">
        <v>58</v>
      </c>
      <c r="B22" s="336" t="e">
        <f>VLOOKUP(S22,'DATOS %'!$C$137:$K$152,3,FALSE)</f>
        <v>#N/A</v>
      </c>
      <c r="C22" s="337" t="e">
        <f>VLOOKUP(S22,'DATOS %'!$C$137:$K$152,4,FALSE)</f>
        <v>#N/A</v>
      </c>
      <c r="D22" s="338" t="s">
        <v>147</v>
      </c>
      <c r="E22" s="339" t="e">
        <f>VLOOKUP(S22,'DATOS %'!$C$137:$K$152,5,FALSE)</f>
        <v>#N/A</v>
      </c>
      <c r="F22" s="338" t="s">
        <v>147</v>
      </c>
      <c r="G22" s="340" t="e">
        <f>VLOOKUP(S22,'DATOS %'!$C$137:$K$152,6,FALSE)</f>
        <v>#N/A</v>
      </c>
      <c r="H22" s="338" t="s">
        <v>147</v>
      </c>
      <c r="I22" s="341" t="e">
        <f>VLOOKUP(S22,'DATOS %'!$C$137:$K$152,7,FALSE)</f>
        <v>#N/A</v>
      </c>
      <c r="J22" s="338" t="s">
        <v>147</v>
      </c>
      <c r="K22" s="342" t="e">
        <f>(I22/2)/SQRT(12)</f>
        <v>#N/A</v>
      </c>
      <c r="L22" s="338" t="s">
        <v>147</v>
      </c>
      <c r="M22" s="343" t="e">
        <f t="shared" si="1"/>
        <v>#N/A</v>
      </c>
      <c r="N22" s="338" t="s">
        <v>147</v>
      </c>
      <c r="O22" s="337" t="e">
        <f>VLOOKUP(S22,'DATOS %'!$C$137:$K$152,8,FALSE)</f>
        <v>#N/A</v>
      </c>
      <c r="P22" s="344" t="e">
        <f>VLOOKUP(S22,'DATOS %'!$C$137:$K$152,9,FALSE)</f>
        <v>#N/A</v>
      </c>
      <c r="Q22" s="345"/>
      <c r="R22" s="346"/>
      <c r="S22" s="314"/>
    </row>
    <row r="23" spans="1:20" s="21" customFormat="1" ht="30" customHeight="1" thickBot="1" x14ac:dyDescent="0.3"/>
    <row r="24" spans="1:20" s="21" customFormat="1" ht="30" customHeight="1" thickBot="1" x14ac:dyDescent="0.3">
      <c r="A24" s="24"/>
      <c r="B24" s="1727" t="s">
        <v>59</v>
      </c>
      <c r="C24" s="1728"/>
      <c r="D24" s="1728"/>
      <c r="E24" s="1728"/>
      <c r="F24" s="1728"/>
      <c r="G24" s="1729"/>
      <c r="H24" s="22"/>
      <c r="I24" s="1727" t="s">
        <v>330</v>
      </c>
      <c r="J24" s="1728"/>
      <c r="K24" s="1728"/>
      <c r="L24" s="1728"/>
      <c r="M24" s="1728"/>
      <c r="N24" s="1728"/>
      <c r="O24" s="1728"/>
      <c r="P24" s="1728"/>
      <c r="Q24" s="1728"/>
      <c r="R24" s="1729"/>
    </row>
    <row r="25" spans="1:20" s="21" customFormat="1" ht="30" customHeight="1" thickBot="1" x14ac:dyDescent="0.3">
      <c r="A25" s="24"/>
      <c r="B25" s="531" t="s">
        <v>60</v>
      </c>
      <c r="C25" s="525"/>
      <c r="D25" s="1720" t="s">
        <v>1</v>
      </c>
      <c r="E25" s="1659"/>
      <c r="F25" s="1721" t="s">
        <v>0</v>
      </c>
      <c r="G25" s="1722"/>
      <c r="H25" s="22"/>
      <c r="I25" s="1723" t="s">
        <v>54</v>
      </c>
      <c r="J25" s="1704" t="s">
        <v>40</v>
      </c>
      <c r="K25" s="1704" t="s">
        <v>41</v>
      </c>
      <c r="L25" s="1704" t="s">
        <v>450</v>
      </c>
      <c r="M25" s="1706" t="s">
        <v>61</v>
      </c>
      <c r="N25" s="22"/>
      <c r="O25" s="1723" t="s">
        <v>62</v>
      </c>
      <c r="P25" s="1723" t="s">
        <v>63</v>
      </c>
      <c r="Q25" s="1723" t="s">
        <v>64</v>
      </c>
      <c r="R25" s="1732" t="s">
        <v>305</v>
      </c>
    </row>
    <row r="26" spans="1:20" s="21" customFormat="1" ht="30" customHeight="1" thickBot="1" x14ac:dyDescent="0.3">
      <c r="A26" s="289"/>
      <c r="B26" s="1790" t="s">
        <v>35</v>
      </c>
      <c r="C26" s="1791"/>
      <c r="D26" s="1730" t="e">
        <f>VLOOKUP($A$26,'DATOS %'!$B$24:$O$26,2,FALSE)</f>
        <v>#N/A</v>
      </c>
      <c r="E26" s="1731"/>
      <c r="F26" s="1741" t="e">
        <f>VLOOKUP($H$26,'DATOS %'!$B$14:$N$16,2,FALSE)</f>
        <v>#N/A</v>
      </c>
      <c r="G26" s="1742"/>
      <c r="H26" s="289"/>
      <c r="I26" s="1796"/>
      <c r="J26" s="1797"/>
      <c r="K26" s="1797"/>
      <c r="L26" s="1797"/>
      <c r="M26" s="1793"/>
      <c r="N26" s="22"/>
      <c r="O26" s="1724"/>
      <c r="P26" s="1724"/>
      <c r="Q26" s="1724"/>
      <c r="R26" s="1733"/>
    </row>
    <row r="27" spans="1:20" s="21" customFormat="1" ht="30" customHeight="1" thickBot="1" x14ac:dyDescent="0.3">
      <c r="A27" s="24"/>
      <c r="B27" s="1790" t="s">
        <v>36</v>
      </c>
      <c r="C27" s="1791"/>
      <c r="D27" s="1739" t="e">
        <f>VLOOKUP($A$26,'DATOS %'!$B$24:$O$26,3,FALSE)</f>
        <v>#N/A</v>
      </c>
      <c r="E27" s="1740"/>
      <c r="F27" s="1716" t="e">
        <f>VLOOKUP($H$26,'DATOS %'!$B$14:$N$16,3,FALSE)</f>
        <v>#N/A</v>
      </c>
      <c r="G27" s="1717"/>
      <c r="H27" s="22"/>
      <c r="I27" s="533" t="s">
        <v>67</v>
      </c>
      <c r="J27" s="348">
        <v>3.7854109999999999</v>
      </c>
      <c r="K27" s="348">
        <v>3785.4110000000001</v>
      </c>
      <c r="L27" s="348">
        <v>231.00000854332629</v>
      </c>
      <c r="M27" s="349">
        <v>5</v>
      </c>
      <c r="N27" s="350"/>
      <c r="O27" s="351" t="e">
        <f>O30/K27</f>
        <v>#N/A</v>
      </c>
      <c r="P27" s="352" t="e">
        <f>P30/K27</f>
        <v>#N/A</v>
      </c>
      <c r="Q27" s="353" t="e">
        <f>P27-O27</f>
        <v>#N/A</v>
      </c>
      <c r="R27" s="354" t="e">
        <f>ABS(Q27)</f>
        <v>#N/A</v>
      </c>
    </row>
    <row r="28" spans="1:20" s="21" customFormat="1" ht="30" customHeight="1" thickBot="1" x14ac:dyDescent="0.3">
      <c r="A28" s="24"/>
      <c r="B28" s="1790" t="s">
        <v>25</v>
      </c>
      <c r="C28" s="1791"/>
      <c r="D28" s="1739" t="e">
        <f>VLOOKUP($A$26,'DATOS %'!$B$24:$O$26,4,FALSE)</f>
        <v>#N/A</v>
      </c>
      <c r="E28" s="1740"/>
      <c r="F28" s="1718" t="e">
        <f>VLOOKUP($H$26,'DATOS %'!$B$14:$N$16,4,FALSE)</f>
        <v>#N/A</v>
      </c>
      <c r="G28" s="1719"/>
      <c r="H28" s="22"/>
      <c r="I28" s="533" t="s">
        <v>210</v>
      </c>
      <c r="J28" s="348">
        <v>1.6387059999999998E-2</v>
      </c>
      <c r="K28" s="348">
        <v>16.387059999999998</v>
      </c>
      <c r="L28" s="348">
        <v>1</v>
      </c>
      <c r="M28" s="349">
        <v>1155.0000427166315</v>
      </c>
      <c r="N28" s="22"/>
      <c r="O28" s="355" t="e">
        <f>O30/K28</f>
        <v>#N/A</v>
      </c>
      <c r="P28" s="356" t="e">
        <f>(P30*L28)/K28</f>
        <v>#N/A</v>
      </c>
      <c r="Q28" s="357" t="e">
        <f>P28-O28</f>
        <v>#N/A</v>
      </c>
      <c r="R28" s="358" t="e">
        <f>ABS(Q28)</f>
        <v>#N/A</v>
      </c>
    </row>
    <row r="29" spans="1:20" s="21" customFormat="1" ht="30" customHeight="1" thickBot="1" x14ac:dyDescent="0.3">
      <c r="A29" s="24"/>
      <c r="B29" s="1794" t="s">
        <v>70</v>
      </c>
      <c r="C29" s="1795"/>
      <c r="D29" s="526" t="e">
        <f>VLOOKUP($A$26,'DATOS %'!$B$24:$O$26,5,FALSE)</f>
        <v>#N/A</v>
      </c>
      <c r="E29" s="332" t="s">
        <v>3</v>
      </c>
      <c r="F29" s="332" t="e">
        <f>VLOOKUP($H$26,'DATOS %'!$B$14:$N$16,5,FALSE)</f>
        <v>#N/A</v>
      </c>
      <c r="G29" s="360" t="s">
        <v>3</v>
      </c>
      <c r="H29" s="22"/>
      <c r="I29" s="533" t="s">
        <v>22</v>
      </c>
      <c r="J29" s="348">
        <v>1</v>
      </c>
      <c r="K29" s="348">
        <v>1000</v>
      </c>
      <c r="L29" s="348">
        <v>1.6387059999999998E-2</v>
      </c>
      <c r="M29" s="349">
        <v>18.927054999999999</v>
      </c>
      <c r="N29" s="22"/>
      <c r="O29" s="361" t="e">
        <f>O30/K29</f>
        <v>#N/A</v>
      </c>
      <c r="P29" s="356" t="e">
        <f>(P30*J29)/K29</f>
        <v>#N/A</v>
      </c>
      <c r="Q29" s="357" t="e">
        <f>P29-O29</f>
        <v>#N/A</v>
      </c>
      <c r="R29" s="358" t="e">
        <f>ABS(Q29)</f>
        <v>#N/A</v>
      </c>
    </row>
    <row r="30" spans="1:20" s="21" customFormat="1" ht="30" customHeight="1" thickBot="1" x14ac:dyDescent="0.3">
      <c r="A30" s="24"/>
      <c r="B30" s="1794" t="s">
        <v>39</v>
      </c>
      <c r="C30" s="1795"/>
      <c r="D30" s="526" t="e">
        <f>VLOOKUP($A$26,'DATOS %'!$B$24:$O$26,6,FALSE)</f>
        <v>#N/A</v>
      </c>
      <c r="E30" s="332" t="s">
        <v>9</v>
      </c>
      <c r="F30" s="332" t="e">
        <f>VLOOKUP($H$26,'DATOS %'!$B$14:$N$16,6,FALSE)</f>
        <v>#N/A</v>
      </c>
      <c r="G30" s="360" t="s">
        <v>9</v>
      </c>
      <c r="H30" s="22"/>
      <c r="I30" s="533" t="s">
        <v>23</v>
      </c>
      <c r="J30" s="135">
        <v>1E-3</v>
      </c>
      <c r="K30" s="348">
        <v>1</v>
      </c>
      <c r="L30" s="348">
        <v>16.387059999999998</v>
      </c>
      <c r="M30" s="362">
        <v>18927.055</v>
      </c>
      <c r="N30" s="22"/>
      <c r="O30" s="362" t="e">
        <f>C7</f>
        <v>#N/A</v>
      </c>
      <c r="P30" s="523" t="e">
        <f>H58</f>
        <v>#N/A</v>
      </c>
      <c r="Q30" s="357" t="e">
        <f>P30-O30</f>
        <v>#N/A</v>
      </c>
      <c r="R30" s="358" t="e">
        <f>ABS(Q30)</f>
        <v>#N/A</v>
      </c>
    </row>
    <row r="31" spans="1:20" s="21" customFormat="1" ht="30" customHeight="1" thickBot="1" x14ac:dyDescent="0.3">
      <c r="A31" s="24"/>
      <c r="B31" s="1794" t="s">
        <v>72</v>
      </c>
      <c r="C31" s="1795"/>
      <c r="D31" s="526" t="e">
        <f>VLOOKUP($A$26,'DATOS %'!$B$24:$O$26,7,FALSE)</f>
        <v>#N/A</v>
      </c>
      <c r="E31" s="332" t="s">
        <v>4</v>
      </c>
      <c r="F31" s="332" t="e">
        <f>VLOOKUP($H$26,'DATOS %'!$B$14:$N$16,7,FALSE)</f>
        <v>#N/A</v>
      </c>
      <c r="G31" s="360" t="s">
        <v>4</v>
      </c>
      <c r="H31" s="22"/>
      <c r="I31" s="78" t="s">
        <v>451</v>
      </c>
      <c r="J31" s="170">
        <v>1E-3</v>
      </c>
      <c r="K31" s="363">
        <v>1</v>
      </c>
      <c r="L31" s="363">
        <v>16.387059999999998</v>
      </c>
      <c r="M31" s="362">
        <v>18927.055</v>
      </c>
      <c r="N31" s="22"/>
      <c r="O31" s="362" t="e">
        <f>O30</f>
        <v>#N/A</v>
      </c>
      <c r="P31" s="524" t="e">
        <f>P30</f>
        <v>#N/A</v>
      </c>
      <c r="Q31" s="364" t="e">
        <f>P31-O31</f>
        <v>#N/A</v>
      </c>
      <c r="R31" s="365" t="e">
        <f>ABS(Q31)</f>
        <v>#N/A</v>
      </c>
      <c r="T31" s="366"/>
    </row>
    <row r="32" spans="1:20" s="21" customFormat="1" ht="30" customHeight="1" thickBot="1" x14ac:dyDescent="0.3">
      <c r="A32" s="24"/>
      <c r="B32" s="1794" t="s">
        <v>34</v>
      </c>
      <c r="C32" s="1795"/>
      <c r="D32" s="526" t="e">
        <f>VLOOKUP($A$26,'DATOS %'!$B$24:$O$26,8,FALSE)</f>
        <v>#N/A</v>
      </c>
      <c r="E32" s="332" t="s">
        <v>4</v>
      </c>
      <c r="F32" s="332" t="e">
        <f>VLOOKUP($H$26,'DATOS %'!$B$14:$N$16,8,FALSE)</f>
        <v>#N/A</v>
      </c>
      <c r="G32" s="360" t="s">
        <v>4</v>
      </c>
      <c r="H32" s="22"/>
      <c r="R32" s="24"/>
      <c r="T32" s="366"/>
    </row>
    <row r="33" spans="1:25" s="21" customFormat="1" ht="45.95" customHeight="1" thickBot="1" x14ac:dyDescent="0.3">
      <c r="A33" s="24"/>
      <c r="B33" s="1794" t="s">
        <v>369</v>
      </c>
      <c r="C33" s="1795"/>
      <c r="D33" s="526" t="e">
        <f>VLOOKUP($A$26,'DATOS %'!$B$24:$O$26,9,FALSE)</f>
        <v>#N/A</v>
      </c>
      <c r="E33" s="332" t="s">
        <v>452</v>
      </c>
      <c r="F33" s="332" t="e">
        <f>VLOOKUP($H$26,'DATOS %'!$B$14:$N$16,9,FALSE)</f>
        <v>#N/A</v>
      </c>
      <c r="G33" s="360" t="s">
        <v>452</v>
      </c>
      <c r="H33" s="24"/>
      <c r="I33" s="1641" t="s">
        <v>68</v>
      </c>
      <c r="J33" s="1642"/>
      <c r="K33" s="1185"/>
      <c r="L33" s="1186"/>
      <c r="N33" s="1643" t="s">
        <v>69</v>
      </c>
      <c r="O33" s="1644"/>
      <c r="P33" s="1187"/>
      <c r="Q33" s="1186"/>
      <c r="R33" s="367"/>
      <c r="T33" s="366"/>
    </row>
    <row r="34" spans="1:25" s="21" customFormat="1" ht="30" customHeight="1" thickBot="1" x14ac:dyDescent="0.3">
      <c r="A34" s="24"/>
      <c r="B34" s="1794" t="s">
        <v>75</v>
      </c>
      <c r="C34" s="1795"/>
      <c r="D34" s="526" t="e">
        <f>VLOOKUP($A$26,'DATOS %'!$B$24:$O$26,10,FALSE)</f>
        <v>#N/A</v>
      </c>
      <c r="E34" s="332" t="s">
        <v>13</v>
      </c>
      <c r="F34" s="332" t="e">
        <f>VLOOKUP($H$26,'DATOS %'!$B$14:$N$16,10,FALSE)</f>
        <v>#N/A</v>
      </c>
      <c r="G34" s="360" t="s">
        <v>13</v>
      </c>
      <c r="H34" s="22"/>
    </row>
    <row r="35" spans="1:25" s="21" customFormat="1" ht="30" customHeight="1" thickBot="1" x14ac:dyDescent="0.3">
      <c r="A35" s="24"/>
      <c r="B35" s="1794" t="s">
        <v>76</v>
      </c>
      <c r="C35" s="1795"/>
      <c r="D35" s="526" t="e">
        <f>VLOOKUP($A$26,'DATOS %'!$B$24:$O$26,11,FALSE)</f>
        <v>#N/A</v>
      </c>
      <c r="E35" s="332" t="s">
        <v>13</v>
      </c>
      <c r="F35" s="332" t="e">
        <f>VLOOKUP($H$26,'DATOS %'!$B$14:$N$16,11,FALSE)</f>
        <v>#N/A</v>
      </c>
      <c r="G35" s="360" t="s">
        <v>13</v>
      </c>
      <c r="H35" s="22"/>
      <c r="I35" s="1727" t="s">
        <v>453</v>
      </c>
      <c r="J35" s="1728"/>
      <c r="K35" s="1728"/>
      <c r="L35" s="1728"/>
      <c r="M35" s="1728"/>
      <c r="N35" s="1728"/>
      <c r="O35" s="1728"/>
      <c r="P35" s="1728"/>
      <c r="Q35" s="176" t="s">
        <v>281</v>
      </c>
    </row>
    <row r="36" spans="1:25" s="21" customFormat="1" ht="45.95" customHeight="1" thickBot="1" x14ac:dyDescent="0.3">
      <c r="A36" s="24"/>
      <c r="B36" s="1794" t="s">
        <v>502</v>
      </c>
      <c r="C36" s="1795"/>
      <c r="D36" s="526" t="e">
        <f>VLOOKUP($A$26,'DATOS %'!$B$24:$O$26,12,FALSE)</f>
        <v>#N/A</v>
      </c>
      <c r="E36" s="332" t="s">
        <v>452</v>
      </c>
      <c r="F36" s="332" t="e">
        <f>D36</f>
        <v>#N/A</v>
      </c>
      <c r="G36" s="360" t="s">
        <v>452</v>
      </c>
      <c r="H36" s="22"/>
      <c r="I36" s="1802" t="s">
        <v>71</v>
      </c>
      <c r="J36" s="1803"/>
      <c r="K36" s="1804"/>
      <c r="L36" s="1805" t="s">
        <v>19</v>
      </c>
      <c r="M36" s="1806"/>
      <c r="N36" s="1807"/>
      <c r="O36" s="819" t="s">
        <v>20</v>
      </c>
      <c r="P36" s="820" t="s">
        <v>598</v>
      </c>
      <c r="Q36" s="289"/>
    </row>
    <row r="37" spans="1:25" s="21" customFormat="1" ht="45.95" customHeight="1" thickBot="1" x14ac:dyDescent="0.3">
      <c r="A37" s="24"/>
      <c r="B37" s="1808" t="s">
        <v>503</v>
      </c>
      <c r="C37" s="1809"/>
      <c r="D37" s="368" t="e">
        <f>K58</f>
        <v>#N/A</v>
      </c>
      <c r="E37" s="369" t="s">
        <v>452</v>
      </c>
      <c r="F37" s="370" t="e">
        <f>D37</f>
        <v>#N/A</v>
      </c>
      <c r="G37" s="371" t="s">
        <v>452</v>
      </c>
      <c r="H37" s="22"/>
      <c r="I37" s="1810" t="s">
        <v>295</v>
      </c>
      <c r="J37" s="1811"/>
      <c r="K37" s="821"/>
      <c r="L37" s="1810" t="s">
        <v>295</v>
      </c>
      <c r="M37" s="1811"/>
      <c r="N37" s="821"/>
      <c r="O37" s="500" t="e">
        <f>AVERAGE(K37,N37)</f>
        <v>#DIV/0!</v>
      </c>
      <c r="P37" s="1055" t="e">
        <f>O37+((VLOOKUP($Q$36,'DATOS %'!$B$158:$O$164,9,FALSE))*O37+(VLOOKUP($Q$36,'DATOS %'!$B$158:$O$164,10,FALSE)))</f>
        <v>#DIV/0!</v>
      </c>
    </row>
    <row r="38" spans="1:25" s="21" customFormat="1" ht="39" customHeight="1" thickBot="1" x14ac:dyDescent="0.3">
      <c r="A38" s="24"/>
      <c r="B38" s="22"/>
      <c r="C38" s="22"/>
      <c r="D38" s="22"/>
      <c r="E38" s="22"/>
      <c r="F38" s="22"/>
      <c r="G38" s="22"/>
      <c r="H38" s="22"/>
      <c r="I38" s="1798" t="s">
        <v>448</v>
      </c>
      <c r="J38" s="1799"/>
      <c r="K38" s="11"/>
      <c r="L38" s="1798" t="s">
        <v>448</v>
      </c>
      <c r="M38" s="1799"/>
      <c r="N38" s="11"/>
      <c r="O38" s="801" t="e">
        <f>AVERAGE(K38,N38)</f>
        <v>#DIV/0!</v>
      </c>
      <c r="P38" s="1056" t="e">
        <f>O38+((VLOOKUP($Q$36,'DATOS %'!$B$158:$O$164,11,FALSE))*O38+(VLOOKUP($Q$36,'DATOS %'!$B$158:$O$164,12,FALSE)))</f>
        <v>#DIV/0!</v>
      </c>
    </row>
    <row r="39" spans="1:25" s="21" customFormat="1" ht="30" customHeight="1" thickBot="1" x14ac:dyDescent="0.3">
      <c r="A39" s="24"/>
      <c r="B39" s="1658" t="s">
        <v>174</v>
      </c>
      <c r="C39" s="1659"/>
      <c r="D39" s="1660" t="e">
        <f>VLOOKUP(H39,'DATOS %'!P9:R13,2,FALSE)</f>
        <v>#N/A</v>
      </c>
      <c r="E39" s="1661"/>
      <c r="F39" s="1661"/>
      <c r="G39" s="1662"/>
      <c r="H39" s="289"/>
      <c r="I39" s="1800" t="s">
        <v>296</v>
      </c>
      <c r="J39" s="1801"/>
      <c r="K39" s="12"/>
      <c r="L39" s="1800" t="s">
        <v>296</v>
      </c>
      <c r="M39" s="1801"/>
      <c r="N39" s="12"/>
      <c r="O39" s="802" t="e">
        <f>AVERAGE(K39,N39)</f>
        <v>#DIV/0!</v>
      </c>
      <c r="P39" s="1057" t="e">
        <f>O39+((VLOOKUP($Q$36,'DATOS %'!$B$158:$O$164,13,FALSE))*O39+(VLOOKUP($Q$36,'DATOS %'!$B$158:$O$164,14,FALSE)))</f>
        <v>#DIV/0!</v>
      </c>
    </row>
    <row r="40" spans="1:25" s="21" customFormat="1" ht="30" customHeight="1" thickBot="1" x14ac:dyDescent="0.3">
      <c r="A40" s="24"/>
      <c r="H40" s="22"/>
      <c r="I40" s="22"/>
    </row>
    <row r="41" spans="1:25" s="24" customFormat="1" ht="30" customHeight="1" thickBot="1" x14ac:dyDescent="0.3">
      <c r="B41" s="1646" t="s">
        <v>77</v>
      </c>
      <c r="C41" s="1647"/>
      <c r="D41" s="1647"/>
      <c r="E41" s="1647"/>
      <c r="F41" s="1647"/>
      <c r="G41" s="1647"/>
      <c r="H41" s="1647"/>
      <c r="I41" s="1647"/>
      <c r="J41" s="1647"/>
      <c r="K41" s="1647"/>
      <c r="L41" s="1647"/>
      <c r="M41" s="1647"/>
      <c r="N41" s="1648"/>
      <c r="Q41" s="1665" t="s">
        <v>239</v>
      </c>
      <c r="R41" s="1666"/>
      <c r="S41" s="1666"/>
      <c r="T41" s="1666"/>
      <c r="U41" s="1666"/>
      <c r="V41" s="1666"/>
      <c r="W41" s="1666"/>
      <c r="X41" s="1666"/>
      <c r="Y41" s="1667"/>
    </row>
    <row r="42" spans="1:25" s="22" customFormat="1" ht="27.75" customHeight="1" thickBot="1" x14ac:dyDescent="0.3">
      <c r="B42" s="1643" t="s">
        <v>433</v>
      </c>
      <c r="C42" s="1812"/>
      <c r="D42" s="1812"/>
      <c r="E42" s="1812"/>
      <c r="F42" s="1812"/>
      <c r="G42" s="1644"/>
      <c r="I42" s="1643" t="s">
        <v>434</v>
      </c>
      <c r="J42" s="1812"/>
      <c r="K42" s="1812"/>
      <c r="L42" s="1812"/>
      <c r="M42" s="1812"/>
      <c r="N42" s="1644"/>
      <c r="Q42" s="372"/>
      <c r="R42" s="373"/>
      <c r="S42" s="373"/>
      <c r="T42" s="373"/>
      <c r="U42" s="373"/>
      <c r="V42" s="373"/>
      <c r="W42" s="373"/>
      <c r="X42" s="373"/>
      <c r="Y42" s="374"/>
    </row>
    <row r="43" spans="1:25" s="21" customFormat="1" ht="54.75" customHeight="1" thickBot="1" x14ac:dyDescent="0.3">
      <c r="A43" s="818"/>
      <c r="B43" s="375" t="s">
        <v>78</v>
      </c>
      <c r="C43" s="535" t="s">
        <v>368</v>
      </c>
      <c r="D43" s="95" t="s">
        <v>367</v>
      </c>
      <c r="E43" s="95" t="s">
        <v>80</v>
      </c>
      <c r="F43" s="95" t="s">
        <v>81</v>
      </c>
      <c r="G43" s="96" t="s">
        <v>82</v>
      </c>
      <c r="H43" s="22"/>
      <c r="I43" s="530" t="s">
        <v>79</v>
      </c>
      <c r="J43" s="95" t="s">
        <v>366</v>
      </c>
      <c r="K43" s="95" t="s">
        <v>80</v>
      </c>
      <c r="L43" s="95" t="s">
        <v>81</v>
      </c>
      <c r="M43" s="95" t="s">
        <v>82</v>
      </c>
      <c r="N43" s="96" t="s">
        <v>405</v>
      </c>
      <c r="O43" s="818"/>
      <c r="Q43" s="89"/>
      <c r="R43" s="22"/>
      <c r="S43" s="22"/>
      <c r="T43" s="22"/>
      <c r="U43" s="22"/>
      <c r="V43" s="22"/>
      <c r="W43" s="22"/>
      <c r="X43" s="22"/>
      <c r="Y43" s="376"/>
    </row>
    <row r="44" spans="1:25" s="21" customFormat="1" ht="30" customHeight="1" x14ac:dyDescent="0.25">
      <c r="A44" s="24"/>
      <c r="B44" s="79">
        <v>1</v>
      </c>
      <c r="C44" s="377"/>
      <c r="D44" s="378" t="e">
        <f>C44+(VLOOKUP($A$43,'DATOS %'!$A$37:$N$50,13,FALSE))*C44+(VLOOKUP($A$43,'DATOS %'!$A$37:$N$50,14,FALSE))</f>
        <v>#N/A</v>
      </c>
      <c r="E44" s="379"/>
      <c r="F44" s="380"/>
      <c r="G44" s="381">
        <f>E44+F44</f>
        <v>0</v>
      </c>
      <c r="H44" s="22"/>
      <c r="I44" s="382"/>
      <c r="J44" s="378" t="e">
        <f>I44+(VLOOKUP($O$43,'DATOS %'!$A$37:$N$50,13,FALSE))*I44+(VLOOKUP($O$43,'DATOS %'!$A$37:$N$50,14,FALSE))</f>
        <v>#N/A</v>
      </c>
      <c r="K44" s="383"/>
      <c r="L44" s="384"/>
      <c r="M44" s="385">
        <f>K44+L44</f>
        <v>0</v>
      </c>
      <c r="N44" s="386"/>
      <c r="O44" s="22"/>
      <c r="Q44" s="89"/>
      <c r="R44" s="22"/>
      <c r="S44" s="22"/>
      <c r="T44" s="22"/>
      <c r="U44" s="22"/>
      <c r="V44" s="22"/>
      <c r="W44" s="22"/>
      <c r="X44" s="22"/>
      <c r="Y44" s="376"/>
    </row>
    <row r="45" spans="1:25" s="21" customFormat="1" ht="30" customHeight="1" thickBot="1" x14ac:dyDescent="0.3">
      <c r="A45" s="24"/>
      <c r="B45" s="387">
        <v>2</v>
      </c>
      <c r="C45" s="388"/>
      <c r="D45" s="389" t="e">
        <f>C45+(VLOOKUP($A$43,'DATOS %'!$A$37:$N$50,13,FALSE))*C45+(VLOOKUP($A$43,'DATOS %'!$A$37:$N$50,14,FALSE))</f>
        <v>#N/A</v>
      </c>
      <c r="E45" s="390"/>
      <c r="F45" s="391"/>
      <c r="G45" s="392">
        <f>E45+F45</f>
        <v>0</v>
      </c>
      <c r="H45" s="22"/>
      <c r="I45" s="393"/>
      <c r="J45" s="389" t="e">
        <f>I45+(VLOOKUP($O$43,'DATOS %'!$A$37:$N$50,13,FALSE))*I45+(VLOOKUP($O$43,'DATOS %'!$A$37:$N$50,14,FALSE))</f>
        <v>#N/A</v>
      </c>
      <c r="K45" s="394"/>
      <c r="L45" s="13"/>
      <c r="M45" s="273">
        <f>K45+L45</f>
        <v>0</v>
      </c>
      <c r="N45" s="395"/>
      <c r="O45" s="22"/>
      <c r="Q45" s="89"/>
      <c r="R45" s="22"/>
      <c r="S45" s="22"/>
      <c r="T45" s="22"/>
      <c r="U45" s="22"/>
      <c r="V45" s="22"/>
      <c r="W45" s="22"/>
      <c r="X45" s="22"/>
      <c r="Y45" s="376"/>
    </row>
    <row r="46" spans="1:25" s="21" customFormat="1" ht="30" customHeight="1" thickBot="1" x14ac:dyDescent="0.3">
      <c r="A46" s="528" t="s">
        <v>83</v>
      </c>
      <c r="B46" s="396">
        <v>3</v>
      </c>
      <c r="C46" s="397"/>
      <c r="D46" s="134" t="e">
        <f>C46+(VLOOKUP($A$43,'DATOS %'!$A$37:$N$50,13,FALSE))*C46+(VLOOKUP($A$43,'DATOS %'!$A$37:$N$50,14,FALSE))</f>
        <v>#N/A</v>
      </c>
      <c r="E46" s="398"/>
      <c r="F46" s="399"/>
      <c r="G46" s="400">
        <f>E46+F46</f>
        <v>0</v>
      </c>
      <c r="H46" s="22"/>
      <c r="I46" s="401"/>
      <c r="J46" s="134" t="e">
        <f>I46+(VLOOKUP($O$43,'DATOS %'!$A$37:$N$50,13,FALSE))*I46+(VLOOKUP($O$43,'DATOS %'!$A$37:$N$50,14,FALSE))</f>
        <v>#N/A</v>
      </c>
      <c r="K46" s="402"/>
      <c r="L46" s="12"/>
      <c r="M46" s="403">
        <f>K46+L46</f>
        <v>0</v>
      </c>
      <c r="N46" s="404"/>
      <c r="O46" s="22"/>
      <c r="Q46" s="405"/>
      <c r="R46" s="406"/>
      <c r="S46" s="406"/>
      <c r="T46" s="406"/>
      <c r="U46" s="406"/>
      <c r="V46" s="406"/>
      <c r="W46" s="406"/>
      <c r="X46" s="406"/>
      <c r="Y46" s="407"/>
    </row>
    <row r="47" spans="1:25" s="21" customFormat="1" ht="33.75" customHeight="1" thickBot="1" x14ac:dyDescent="0.3">
      <c r="A47" s="24"/>
      <c r="B47" s="1643" t="s">
        <v>423</v>
      </c>
      <c r="C47" s="1812"/>
      <c r="D47" s="1812"/>
      <c r="E47" s="1812"/>
      <c r="F47" s="1644"/>
      <c r="G47" s="408" t="e">
        <f>AVERAGE(D44:D46)</f>
        <v>#N/A</v>
      </c>
      <c r="H47" s="22"/>
      <c r="I47" s="1643" t="s">
        <v>423</v>
      </c>
      <c r="J47" s="1812"/>
      <c r="K47" s="1812"/>
      <c r="L47" s="1812"/>
      <c r="M47" s="1644"/>
      <c r="N47" s="408" t="e">
        <f>AVERAGE(J44:J46)</f>
        <v>#N/A</v>
      </c>
      <c r="O47" s="22"/>
      <c r="Q47" s="22"/>
      <c r="R47" s="22"/>
      <c r="S47" s="22"/>
      <c r="T47" s="22"/>
      <c r="U47" s="22"/>
      <c r="V47" s="22"/>
      <c r="W47" s="22"/>
      <c r="X47" s="22"/>
      <c r="Y47" s="376"/>
    </row>
    <row r="48" spans="1:25" s="21" customFormat="1" ht="45" customHeight="1" x14ac:dyDescent="0.25">
      <c r="A48" s="24"/>
      <c r="D48" s="409"/>
      <c r="O48" s="22"/>
      <c r="Q48" s="22"/>
      <c r="R48" s="22"/>
      <c r="S48" s="22"/>
      <c r="T48" s="22"/>
      <c r="U48" s="22"/>
      <c r="V48" s="22"/>
      <c r="W48" s="22"/>
      <c r="X48" s="22"/>
      <c r="Y48" s="376"/>
    </row>
    <row r="49" spans="1:18" s="21" customFormat="1" ht="45" customHeight="1" x14ac:dyDescent="0.25">
      <c r="A49" s="24"/>
      <c r="B49" s="22"/>
    </row>
    <row r="50" spans="1:18" s="21" customFormat="1" ht="30" customHeight="1" x14ac:dyDescent="0.25">
      <c r="A50" s="24"/>
      <c r="B50" s="24"/>
      <c r="C50" s="24"/>
      <c r="D50" s="24"/>
      <c r="E50" s="24"/>
      <c r="F50" s="24"/>
      <c r="G50" s="24"/>
      <c r="H50" s="24"/>
      <c r="I50" s="24"/>
      <c r="J50" s="24"/>
      <c r="K50" s="24"/>
      <c r="L50" s="24"/>
      <c r="M50" s="24"/>
      <c r="N50" s="24"/>
      <c r="O50" s="24"/>
      <c r="P50" s="24"/>
      <c r="Q50" s="24"/>
      <c r="R50" s="24"/>
    </row>
    <row r="51" spans="1:18" s="21" customFormat="1" ht="30" customHeight="1" x14ac:dyDescent="0.25">
      <c r="A51" s="24"/>
      <c r="B51" s="22"/>
      <c r="H51" s="22"/>
      <c r="N51" s="22"/>
      <c r="O51" s="22"/>
      <c r="P51" s="22"/>
      <c r="Q51" s="24"/>
      <c r="R51" s="24"/>
    </row>
    <row r="52" spans="1:18" s="22" customFormat="1" ht="25.5" customHeight="1" thickBot="1" x14ac:dyDescent="0.3"/>
    <row r="53" spans="1:18" s="21" customFormat="1" ht="30" customHeight="1" thickBot="1" x14ac:dyDescent="0.3">
      <c r="A53" s="24"/>
      <c r="B53" s="24"/>
      <c r="C53" s="24"/>
      <c r="D53" s="24"/>
      <c r="E53" s="1646" t="s">
        <v>406</v>
      </c>
      <c r="F53" s="1647"/>
      <c r="G53" s="1647"/>
      <c r="H53" s="1647"/>
      <c r="I53" s="1647"/>
      <c r="J53" s="1647"/>
      <c r="K53" s="1647"/>
      <c r="L53" s="1648"/>
      <c r="M53" s="24"/>
      <c r="N53" s="24"/>
      <c r="O53" s="24"/>
      <c r="P53" s="24"/>
      <c r="Q53" s="24"/>
    </row>
    <row r="54" spans="1:18" s="21" customFormat="1" ht="30" customHeight="1" x14ac:dyDescent="0.25">
      <c r="A54" s="24"/>
      <c r="E54" s="1813" t="s">
        <v>78</v>
      </c>
      <c r="F54" s="1814"/>
      <c r="G54" s="17" t="s">
        <v>151</v>
      </c>
      <c r="H54" s="18" t="s">
        <v>152</v>
      </c>
      <c r="I54" s="22"/>
      <c r="J54" s="410"/>
      <c r="K54" s="238"/>
      <c r="L54" s="239"/>
      <c r="M54" s="24"/>
      <c r="N54" s="992" t="s">
        <v>4</v>
      </c>
      <c r="O54" s="1757" t="s">
        <v>84</v>
      </c>
      <c r="P54" s="990"/>
      <c r="Q54" s="996" t="e">
        <f>IF(ABS(Q55)&gt;=(N55)," AJUSTAR","NO AJUSTAR")</f>
        <v>#N/A</v>
      </c>
      <c r="R54" s="986"/>
    </row>
    <row r="55" spans="1:18" s="21" customFormat="1" ht="30" customHeight="1" thickBot="1" x14ac:dyDescent="0.3">
      <c r="A55" s="24"/>
      <c r="E55" s="1759">
        <v>1</v>
      </c>
      <c r="F55" s="1760"/>
      <c r="G55" s="411" t="e">
        <f>$C$7*((1-$D$33*($D$29-D44))+($K$55)*(J44-D44)+$F$33*($F$29-J44))</f>
        <v>#N/A</v>
      </c>
      <c r="H55" s="1023" t="e">
        <f>G55+N44</f>
        <v>#N/A</v>
      </c>
      <c r="I55" s="22"/>
      <c r="J55" s="533">
        <v>1</v>
      </c>
      <c r="K55" s="412" t="e">
        <f>(-0.1176*((D44+J44)/2)^2+(15.846*(D44+J44)/2)-62.677)*10^-6</f>
        <v>#N/A</v>
      </c>
      <c r="L55" s="104" t="s">
        <v>452</v>
      </c>
      <c r="M55" s="22"/>
      <c r="N55" s="993" t="e">
        <f>D31</f>
        <v>#N/A</v>
      </c>
      <c r="O55" s="1758"/>
      <c r="P55" s="989"/>
      <c r="Q55" s="997" t="e">
        <f>Q30</f>
        <v>#N/A</v>
      </c>
      <c r="R55" s="987"/>
    </row>
    <row r="56" spans="1:18" s="21" customFormat="1" ht="30" customHeight="1" x14ac:dyDescent="0.25">
      <c r="A56" s="24"/>
      <c r="E56" s="1759">
        <v>2</v>
      </c>
      <c r="F56" s="1760"/>
      <c r="G56" s="411" t="e">
        <f>$C$7*((1-$D$33*($D$29-D45))+($K$56)*(J45-D45)+$F$33*($F$29-J45))</f>
        <v>#N/A</v>
      </c>
      <c r="H56" s="1023" t="e">
        <f>G56+N45</f>
        <v>#N/A</v>
      </c>
      <c r="I56" s="22"/>
      <c r="J56" s="533">
        <v>2</v>
      </c>
      <c r="K56" s="412" t="e">
        <f>(-0.1176*((D45+J45)/2)^2+(15.846*(D45+J45)/2)-62.677)*10^-6</f>
        <v>#N/A</v>
      </c>
      <c r="L56" s="104" t="s">
        <v>452</v>
      </c>
      <c r="N56" s="994" t="s">
        <v>212</v>
      </c>
      <c r="O56" s="1757" t="s">
        <v>583</v>
      </c>
      <c r="P56" s="989"/>
      <c r="Q56" s="996" t="e">
        <f>IF(ABS(Q57)&gt;=(N57)," AJUSTAR","NO AJUSTAR")</f>
        <v>#N/A</v>
      </c>
      <c r="R56" s="987"/>
    </row>
    <row r="57" spans="1:18" s="21" customFormat="1" ht="30" customHeight="1" thickBot="1" x14ac:dyDescent="0.3">
      <c r="A57" s="24"/>
      <c r="E57" s="1759">
        <v>3</v>
      </c>
      <c r="F57" s="1760"/>
      <c r="G57" s="411" t="e">
        <f>$C$7*((1-$D$33*($D$29-D46))+($K$57)*(J46-D46)+$F$33*($F$29-J46))</f>
        <v>#N/A</v>
      </c>
      <c r="H57" s="1023" t="e">
        <f>G57+N46</f>
        <v>#N/A</v>
      </c>
      <c r="I57" s="22"/>
      <c r="J57" s="533">
        <v>3</v>
      </c>
      <c r="K57" s="412" t="e">
        <f>(-0.1176*((D46+J46)/2)^2+(15.846*(D46+J46)/2)-62.677)*10^-6</f>
        <v>#N/A</v>
      </c>
      <c r="L57" s="104" t="s">
        <v>452</v>
      </c>
      <c r="N57" s="995">
        <f>'DATOS %'!AD115</f>
        <v>0.25</v>
      </c>
      <c r="O57" s="1758"/>
      <c r="P57" s="991"/>
      <c r="Q57" s="998" t="e">
        <f>Q28</f>
        <v>#N/A</v>
      </c>
      <c r="R57" s="988"/>
    </row>
    <row r="58" spans="1:18" s="21" customFormat="1" ht="30" customHeight="1" thickBot="1" x14ac:dyDescent="0.3">
      <c r="A58" s="24"/>
      <c r="E58" s="1761" t="s">
        <v>454</v>
      </c>
      <c r="F58" s="1762"/>
      <c r="G58" s="1763"/>
      <c r="H58" s="1023" t="e">
        <f>AVERAGE(H55:H57)</f>
        <v>#N/A</v>
      </c>
      <c r="J58" s="1" t="s">
        <v>2</v>
      </c>
      <c r="K58" s="413" t="e">
        <f>AVERAGE(K55:K57)</f>
        <v>#N/A</v>
      </c>
      <c r="L58" s="414" t="s">
        <v>452</v>
      </c>
    </row>
    <row r="59" spans="1:18" s="21" customFormat="1" ht="30" customHeight="1" x14ac:dyDescent="0.25">
      <c r="A59" s="24"/>
      <c r="E59" s="1761" t="s">
        <v>455</v>
      </c>
      <c r="F59" s="1762"/>
      <c r="G59" s="1763"/>
      <c r="H59" s="415" t="e">
        <f>_xlfn.STDEV.S(H55:H57)</f>
        <v>#N/A</v>
      </c>
      <c r="I59" s="24"/>
    </row>
    <row r="60" spans="1:18" s="21" customFormat="1" ht="30" customHeight="1" thickBot="1" x14ac:dyDescent="0.3">
      <c r="A60" s="24"/>
      <c r="B60" s="22"/>
      <c r="E60" s="1698" t="s">
        <v>85</v>
      </c>
      <c r="F60" s="1699"/>
      <c r="G60" s="1700"/>
      <c r="H60" s="416" t="e">
        <f>H59/SQRT(3)</f>
        <v>#N/A</v>
      </c>
      <c r="I60" s="24"/>
      <c r="J60" s="22"/>
      <c r="K60" s="22"/>
      <c r="L60" s="22"/>
      <c r="M60" s="22"/>
      <c r="N60" s="22"/>
      <c r="O60" s="22"/>
      <c r="P60" s="22"/>
      <c r="Q60" s="24"/>
      <c r="R60" s="24"/>
    </row>
    <row r="61" spans="1:18" s="21" customFormat="1" ht="30" customHeight="1" x14ac:dyDescent="0.25">
      <c r="A61" s="24"/>
      <c r="B61" s="22"/>
      <c r="M61" s="22" t="s">
        <v>12</v>
      </c>
      <c r="N61" s="22"/>
      <c r="O61" s="22"/>
      <c r="P61" s="22"/>
      <c r="Q61" s="24"/>
      <c r="R61" s="24"/>
    </row>
    <row r="62" spans="1:18" s="22" customFormat="1" ht="22.5" customHeight="1" x14ac:dyDescent="0.25">
      <c r="A62" s="534"/>
      <c r="J62" s="536"/>
      <c r="K62" s="536"/>
      <c r="L62" s="418"/>
      <c r="M62" s="418"/>
      <c r="N62" s="418"/>
      <c r="O62" s="418"/>
      <c r="Q62" s="24"/>
      <c r="R62" s="24"/>
    </row>
    <row r="63" spans="1:18" s="21" customFormat="1" ht="30" customHeight="1" thickBot="1" x14ac:dyDescent="0.3">
      <c r="M63" s="22"/>
      <c r="N63" s="22"/>
      <c r="O63" s="22"/>
      <c r="P63" s="22"/>
      <c r="Q63" s="24"/>
      <c r="R63" s="24"/>
    </row>
    <row r="64" spans="1:18" s="21" customFormat="1" ht="30" customHeight="1" thickBot="1" x14ac:dyDescent="0.3">
      <c r="A64" s="22"/>
      <c r="B64" s="1646" t="s">
        <v>86</v>
      </c>
      <c r="C64" s="1647"/>
      <c r="D64" s="1647"/>
      <c r="E64" s="1647"/>
      <c r="F64" s="1647"/>
      <c r="G64" s="1647"/>
      <c r="H64" s="1647"/>
      <c r="I64" s="1647"/>
      <c r="J64" s="1647"/>
      <c r="K64" s="1647"/>
      <c r="L64" s="1648"/>
      <c r="M64" s="22"/>
      <c r="Q64" s="24"/>
      <c r="R64" s="24"/>
    </row>
    <row r="65" spans="1:18" s="21" customFormat="1" ht="30" customHeight="1" thickBot="1" x14ac:dyDescent="0.3">
      <c r="A65" s="22"/>
      <c r="B65" s="419"/>
      <c r="C65" s="420"/>
      <c r="D65" s="420"/>
      <c r="E65" s="420"/>
      <c r="F65" s="420"/>
      <c r="G65" s="420"/>
      <c r="H65" s="420"/>
      <c r="I65" s="420"/>
      <c r="J65" s="420"/>
      <c r="K65" s="375" t="s">
        <v>87</v>
      </c>
      <c r="L65" s="375" t="s">
        <v>54</v>
      </c>
      <c r="M65" s="22"/>
      <c r="N65" s="530" t="s">
        <v>54</v>
      </c>
      <c r="O65" s="95" t="s">
        <v>1</v>
      </c>
      <c r="P65" s="96" t="s">
        <v>0</v>
      </c>
      <c r="Q65" s="24"/>
      <c r="R65" s="24"/>
    </row>
    <row r="66" spans="1:18" s="22" customFormat="1" ht="30" customHeight="1" thickBot="1" x14ac:dyDescent="0.3">
      <c r="B66" s="1755" t="s">
        <v>175</v>
      </c>
      <c r="C66" s="1756"/>
      <c r="D66" s="1756"/>
      <c r="E66" s="532"/>
      <c r="F66" s="532"/>
      <c r="G66" s="422"/>
      <c r="H66" s="422"/>
      <c r="I66" s="422"/>
      <c r="J66" s="422"/>
      <c r="K66" s="228" t="e">
        <f>(1-$O$74*(O72-O68))+(O78)*(P70-O68)+P76*(P80-P70)</f>
        <v>#N/A</v>
      </c>
      <c r="L66" s="242" t="s">
        <v>276</v>
      </c>
      <c r="N66" s="423"/>
      <c r="O66" s="424" t="e">
        <f>C7</f>
        <v>#N/A</v>
      </c>
      <c r="P66" s="425"/>
    </row>
    <row r="67" spans="1:18" s="21" customFormat="1" ht="5.0999999999999996" customHeight="1" thickBot="1" x14ac:dyDescent="0.3">
      <c r="A67" s="22"/>
      <c r="B67" s="94"/>
      <c r="C67" s="324"/>
      <c r="D67" s="324"/>
      <c r="E67" s="324"/>
      <c r="F67" s="426"/>
      <c r="G67" s="427"/>
      <c r="H67" s="427"/>
      <c r="I67" s="427"/>
      <c r="J67" s="427"/>
      <c r="K67" s="324"/>
      <c r="L67" s="243"/>
      <c r="M67" s="22"/>
      <c r="N67" s="428"/>
      <c r="O67" s="429"/>
      <c r="P67" s="430"/>
      <c r="R67" s="24"/>
    </row>
    <row r="68" spans="1:18" s="24" customFormat="1" ht="30" customHeight="1" thickBot="1" x14ac:dyDescent="0.3">
      <c r="A68" s="22"/>
      <c r="B68" s="1755" t="s">
        <v>176</v>
      </c>
      <c r="C68" s="1756"/>
      <c r="D68" s="1756"/>
      <c r="E68" s="1756"/>
      <c r="F68" s="532"/>
      <c r="G68" s="422"/>
      <c r="H68" s="422"/>
      <c r="I68" s="422"/>
      <c r="J68" s="422"/>
      <c r="K68" s="228" t="e">
        <f>$O$66*(O74-O78)</f>
        <v>#N/A</v>
      </c>
      <c r="L68" s="242" t="s">
        <v>297</v>
      </c>
      <c r="N68" s="431"/>
      <c r="O68" s="135" t="e">
        <f>G47</f>
        <v>#N/A</v>
      </c>
      <c r="P68" s="432"/>
    </row>
    <row r="69" spans="1:18" s="21" customFormat="1" ht="5.0999999999999996" customHeight="1" thickBot="1" x14ac:dyDescent="0.3">
      <c r="A69" s="22"/>
      <c r="B69" s="94"/>
      <c r="C69" s="324"/>
      <c r="D69" s="324"/>
      <c r="E69" s="324"/>
      <c r="F69" s="426"/>
      <c r="G69" s="427"/>
      <c r="H69" s="427"/>
      <c r="I69" s="427"/>
      <c r="J69" s="427"/>
      <c r="K69" s="324"/>
      <c r="L69" s="244"/>
      <c r="M69" s="24"/>
      <c r="N69" s="428"/>
      <c r="O69" s="429"/>
      <c r="P69" s="430"/>
      <c r="Q69" s="24"/>
      <c r="R69" s="24"/>
    </row>
    <row r="70" spans="1:18" s="24" customFormat="1" ht="30" customHeight="1" thickBot="1" x14ac:dyDescent="0.3">
      <c r="A70" s="22"/>
      <c r="B70" s="1755" t="s">
        <v>177</v>
      </c>
      <c r="C70" s="1756"/>
      <c r="D70" s="1756"/>
      <c r="E70" s="1756"/>
      <c r="F70" s="532"/>
      <c r="G70" s="422"/>
      <c r="H70" s="422"/>
      <c r="I70" s="422"/>
      <c r="J70" s="422"/>
      <c r="K70" s="228" t="e">
        <f>$O$66*(O78-P76)</f>
        <v>#N/A</v>
      </c>
      <c r="L70" s="242" t="s">
        <v>297</v>
      </c>
      <c r="N70" s="431"/>
      <c r="O70" s="433"/>
      <c r="P70" s="434" t="e">
        <f>N47</f>
        <v>#N/A</v>
      </c>
    </row>
    <row r="71" spans="1:18" s="21" customFormat="1" ht="5.0999999999999996" customHeight="1" thickBot="1" x14ac:dyDescent="0.3">
      <c r="A71" s="22"/>
      <c r="B71" s="94"/>
      <c r="C71" s="324"/>
      <c r="D71" s="324"/>
      <c r="E71" s="324"/>
      <c r="F71" s="324"/>
      <c r="G71" s="427"/>
      <c r="H71" s="427"/>
      <c r="I71" s="427"/>
      <c r="J71" s="427"/>
      <c r="K71" s="324"/>
      <c r="L71" s="244"/>
      <c r="M71" s="24"/>
      <c r="N71" s="428"/>
      <c r="O71" s="429"/>
      <c r="P71" s="430"/>
      <c r="Q71" s="24"/>
      <c r="R71" s="24"/>
    </row>
    <row r="72" spans="1:18" s="24" customFormat="1" ht="30" customHeight="1" thickBot="1" x14ac:dyDescent="0.3">
      <c r="A72" s="22"/>
      <c r="B72" s="1755" t="s">
        <v>504</v>
      </c>
      <c r="C72" s="1756"/>
      <c r="D72" s="1756"/>
      <c r="E72" s="1756"/>
      <c r="F72" s="1756"/>
      <c r="G72" s="422"/>
      <c r="H72" s="422"/>
      <c r="I72" s="422"/>
      <c r="J72" s="422"/>
      <c r="K72" s="519" t="e">
        <f>-O$66*(O72-O68)</f>
        <v>#N/A</v>
      </c>
      <c r="L72" s="242" t="s">
        <v>277</v>
      </c>
      <c r="N72" s="435"/>
      <c r="O72" s="348" t="e">
        <f>D29</f>
        <v>#N/A</v>
      </c>
      <c r="P72" s="436"/>
    </row>
    <row r="73" spans="1:18" s="21" customFormat="1" ht="5.0999999999999996" customHeight="1" thickBot="1" x14ac:dyDescent="0.3">
      <c r="A73" s="22"/>
      <c r="B73" s="94"/>
      <c r="C73" s="324"/>
      <c r="D73" s="324"/>
      <c r="E73" s="324"/>
      <c r="F73" s="324"/>
      <c r="G73" s="427"/>
      <c r="H73" s="427"/>
      <c r="I73" s="427"/>
      <c r="J73" s="427"/>
      <c r="K73" s="520"/>
      <c r="L73" s="244"/>
      <c r="M73" s="24"/>
      <c r="N73" s="428"/>
      <c r="O73" s="429"/>
      <c r="P73" s="430"/>
      <c r="Q73" s="24"/>
      <c r="R73" s="24"/>
    </row>
    <row r="74" spans="1:18" s="24" customFormat="1" ht="30" customHeight="1" thickBot="1" x14ac:dyDescent="0.3">
      <c r="A74" s="22"/>
      <c r="B74" s="1755" t="s">
        <v>505</v>
      </c>
      <c r="C74" s="1756"/>
      <c r="D74" s="1756"/>
      <c r="E74" s="1756"/>
      <c r="F74" s="1756"/>
      <c r="G74" s="437"/>
      <c r="H74" s="437"/>
      <c r="I74" s="437"/>
      <c r="J74" s="422"/>
      <c r="K74" s="1195" t="e">
        <f>$O$66*(P80-P70)</f>
        <v>#N/A</v>
      </c>
      <c r="L74" s="242" t="s">
        <v>277</v>
      </c>
      <c r="N74" s="431"/>
      <c r="O74" s="274" t="e">
        <f>D33</f>
        <v>#N/A</v>
      </c>
      <c r="P74" s="432"/>
    </row>
    <row r="75" spans="1:18" s="21" customFormat="1" ht="5.0999999999999996" customHeight="1" thickBot="1" x14ac:dyDescent="0.3">
      <c r="A75" s="22"/>
      <c r="B75" s="94"/>
      <c r="C75" s="324"/>
      <c r="D75" s="324"/>
      <c r="E75" s="324"/>
      <c r="F75" s="324"/>
      <c r="G75" s="427"/>
      <c r="H75" s="427"/>
      <c r="I75" s="427"/>
      <c r="J75" s="427"/>
      <c r="K75" s="324"/>
      <c r="L75" s="244"/>
      <c r="M75" s="24"/>
      <c r="N75" s="428"/>
      <c r="O75" s="429"/>
      <c r="P75" s="430"/>
      <c r="Q75" s="24"/>
      <c r="R75" s="24"/>
    </row>
    <row r="76" spans="1:18" s="24" customFormat="1" ht="30" customHeight="1" thickBot="1" x14ac:dyDescent="0.3">
      <c r="A76" s="22"/>
      <c r="B76" s="1755" t="s">
        <v>506</v>
      </c>
      <c r="C76" s="1756"/>
      <c r="D76" s="1756"/>
      <c r="E76" s="1756"/>
      <c r="F76" s="1756"/>
      <c r="G76" s="422"/>
      <c r="H76" s="422"/>
      <c r="I76" s="422"/>
      <c r="J76" s="422"/>
      <c r="K76" s="228" t="e">
        <f>$O$66*(P70-O68)</f>
        <v>#N/A</v>
      </c>
      <c r="L76" s="242" t="s">
        <v>277</v>
      </c>
      <c r="N76" s="431"/>
      <c r="O76" s="433"/>
      <c r="P76" s="522" t="e">
        <f>F33</f>
        <v>#N/A</v>
      </c>
    </row>
    <row r="77" spans="1:18" s="21" customFormat="1" ht="5.0999999999999996" customHeight="1" thickBot="1" x14ac:dyDescent="0.3">
      <c r="A77" s="22"/>
      <c r="B77" s="94"/>
      <c r="C77" s="324"/>
      <c r="D77" s="324"/>
      <c r="E77" s="426"/>
      <c r="F77" s="426"/>
      <c r="G77" s="427"/>
      <c r="H77" s="427"/>
      <c r="I77" s="427"/>
      <c r="J77" s="427"/>
      <c r="K77" s="324"/>
      <c r="L77" s="244"/>
      <c r="M77" s="418"/>
      <c r="N77" s="438"/>
      <c r="O77" s="429"/>
      <c r="P77" s="430"/>
      <c r="Q77" s="24"/>
      <c r="R77" s="24"/>
    </row>
    <row r="78" spans="1:18" s="24" customFormat="1" ht="30" customHeight="1" thickBot="1" x14ac:dyDescent="0.3">
      <c r="A78" s="22"/>
      <c r="B78" s="1755" t="s">
        <v>88</v>
      </c>
      <c r="C78" s="1756"/>
      <c r="D78" s="1756"/>
      <c r="E78" s="439"/>
      <c r="F78" s="439"/>
      <c r="G78" s="437"/>
      <c r="H78" s="437"/>
      <c r="I78" s="437"/>
      <c r="J78" s="422"/>
      <c r="K78" s="440">
        <v>1</v>
      </c>
      <c r="L78" s="242" t="s">
        <v>276</v>
      </c>
      <c r="M78" s="418"/>
      <c r="N78" s="431"/>
      <c r="O78" s="441" t="e">
        <f>D37</f>
        <v>#N/A</v>
      </c>
      <c r="P78" s="442" t="e">
        <f>F37</f>
        <v>#N/A</v>
      </c>
    </row>
    <row r="79" spans="1:18" s="21" customFormat="1" ht="5.0999999999999996" customHeight="1" thickBot="1" x14ac:dyDescent="0.3">
      <c r="A79" s="283"/>
      <c r="B79" s="94"/>
      <c r="C79" s="324"/>
      <c r="D79" s="324"/>
      <c r="E79" s="426"/>
      <c r="F79" s="426"/>
      <c r="G79" s="427"/>
      <c r="H79" s="427"/>
      <c r="I79" s="427"/>
      <c r="J79" s="427"/>
      <c r="K79" s="324"/>
      <c r="L79" s="244"/>
      <c r="M79" s="418"/>
      <c r="N79" s="438"/>
      <c r="O79" s="429"/>
      <c r="P79" s="430"/>
      <c r="Q79" s="24"/>
      <c r="R79" s="24"/>
    </row>
    <row r="80" spans="1:18" s="24" customFormat="1" ht="30" customHeight="1" thickBot="1" x14ac:dyDescent="0.3">
      <c r="A80" s="22"/>
      <c r="B80" s="1755" t="s">
        <v>89</v>
      </c>
      <c r="C80" s="1756"/>
      <c r="D80" s="1756"/>
      <c r="E80" s="439"/>
      <c r="F80" s="439"/>
      <c r="G80" s="437"/>
      <c r="H80" s="437"/>
      <c r="I80" s="437"/>
      <c r="J80" s="422"/>
      <c r="K80" s="440">
        <v>1</v>
      </c>
      <c r="L80" s="242" t="s">
        <v>276</v>
      </c>
      <c r="M80" s="418"/>
      <c r="N80" s="443"/>
      <c r="O80" s="444"/>
      <c r="P80" s="445" t="e">
        <f>F29</f>
        <v>#N/A</v>
      </c>
    </row>
    <row r="81" spans="1:18" s="21" customFormat="1" ht="5.0999999999999996" customHeight="1" thickBot="1" x14ac:dyDescent="0.3">
      <c r="A81" s="22"/>
      <c r="B81" s="94"/>
      <c r="C81" s="324"/>
      <c r="D81" s="324"/>
      <c r="E81" s="426"/>
      <c r="F81" s="426"/>
      <c r="G81" s="427"/>
      <c r="H81" s="427"/>
      <c r="I81" s="427"/>
      <c r="J81" s="427"/>
      <c r="K81" s="324"/>
      <c r="L81" s="244"/>
      <c r="M81" s="418"/>
      <c r="Q81" s="24"/>
      <c r="R81" s="24"/>
    </row>
    <row r="82" spans="1:18" s="24" customFormat="1" ht="30" customHeight="1" thickBot="1" x14ac:dyDescent="0.3">
      <c r="A82" s="22"/>
      <c r="B82" s="1755" t="s">
        <v>90</v>
      </c>
      <c r="C82" s="1756"/>
      <c r="D82" s="1756"/>
      <c r="E82" s="532"/>
      <c r="F82" s="532"/>
      <c r="G82" s="422"/>
      <c r="H82" s="422"/>
      <c r="I82" s="422"/>
      <c r="J82" s="422"/>
      <c r="K82" s="440">
        <v>1</v>
      </c>
      <c r="L82" s="242" t="s">
        <v>276</v>
      </c>
      <c r="M82" s="418"/>
    </row>
    <row r="83" spans="1:18" s="24" customFormat="1" ht="9.75" customHeight="1" thickBot="1" x14ac:dyDescent="0.3">
      <c r="A83" s="22"/>
      <c r="B83" s="405"/>
      <c r="C83" s="406"/>
      <c r="D83" s="406"/>
      <c r="E83" s="406"/>
      <c r="F83" s="406"/>
      <c r="G83" s="406"/>
      <c r="H83" s="406"/>
      <c r="I83" s="406"/>
      <c r="J83" s="406"/>
      <c r="K83" s="406"/>
      <c r="L83" s="446"/>
      <c r="M83" s="418"/>
      <c r="N83" s="418"/>
      <c r="O83" s="447"/>
      <c r="P83" s="22"/>
    </row>
    <row r="84" spans="1:18" s="24" customFormat="1" ht="39.75" customHeight="1" x14ac:dyDescent="0.25">
      <c r="A84" s="22"/>
      <c r="B84" s="418"/>
      <c r="C84" s="418"/>
      <c r="D84" s="418"/>
      <c r="E84" s="418"/>
      <c r="F84" s="418"/>
      <c r="G84" s="418"/>
      <c r="H84" s="418"/>
      <c r="I84" s="418"/>
      <c r="J84" s="418"/>
      <c r="K84" s="418"/>
      <c r="L84" s="418"/>
      <c r="M84" s="418"/>
    </row>
    <row r="85" spans="1:18" s="24" customFormat="1" ht="34.5" customHeight="1" thickBot="1" x14ac:dyDescent="0.3">
      <c r="A85" s="22"/>
      <c r="M85" s="418"/>
      <c r="N85" s="418"/>
      <c r="O85" s="447"/>
      <c r="P85" s="22"/>
    </row>
    <row r="86" spans="1:18" s="24" customFormat="1" ht="34.5" customHeight="1" thickBot="1" x14ac:dyDescent="0.3">
      <c r="A86" s="418"/>
      <c r="B86" s="1646" t="s">
        <v>91</v>
      </c>
      <c r="C86" s="1647"/>
      <c r="D86" s="1647"/>
      <c r="E86" s="1647"/>
      <c r="F86" s="1647"/>
      <c r="G86" s="1647"/>
      <c r="H86" s="1647"/>
      <c r="I86" s="1647"/>
      <c r="J86" s="1647"/>
      <c r="K86" s="1647"/>
      <c r="L86" s="1647"/>
      <c r="M86" s="1647"/>
      <c r="N86" s="1647"/>
      <c r="O86" s="1647"/>
      <c r="P86" s="1647"/>
      <c r="Q86" s="1647"/>
      <c r="R86" s="1648"/>
    </row>
    <row r="87" spans="1:18" s="21" customFormat="1" ht="44.25" customHeight="1" thickBot="1" x14ac:dyDescent="0.3">
      <c r="B87" s="1643" t="s">
        <v>92</v>
      </c>
      <c r="C87" s="1775"/>
      <c r="D87" s="95" t="s">
        <v>153</v>
      </c>
      <c r="E87" s="95" t="s">
        <v>93</v>
      </c>
      <c r="F87" s="95"/>
      <c r="G87" s="95" t="s">
        <v>438</v>
      </c>
      <c r="H87" s="95" t="s">
        <v>95</v>
      </c>
      <c r="I87" s="95"/>
      <c r="J87" s="95" t="s">
        <v>96</v>
      </c>
      <c r="K87" s="95"/>
      <c r="L87" s="95" t="s">
        <v>97</v>
      </c>
      <c r="M87" s="95"/>
      <c r="N87" s="95" t="s">
        <v>456</v>
      </c>
      <c r="O87" s="95" t="s">
        <v>98</v>
      </c>
      <c r="P87" s="95" t="s">
        <v>99</v>
      </c>
      <c r="Q87" s="96" t="s">
        <v>100</v>
      </c>
      <c r="R87" s="1303" t="s">
        <v>616</v>
      </c>
    </row>
    <row r="88" spans="1:18" s="21" customFormat="1" ht="39.950000000000003" customHeight="1" x14ac:dyDescent="0.25">
      <c r="A88" s="24"/>
      <c r="B88" s="1776" t="s">
        <v>101</v>
      </c>
      <c r="C88" s="1777"/>
      <c r="D88" s="448" t="e">
        <f>C7</f>
        <v>#N/A</v>
      </c>
      <c r="E88" s="449"/>
      <c r="F88" s="449"/>
      <c r="G88" s="449"/>
      <c r="H88" s="449"/>
      <c r="I88" s="449"/>
      <c r="J88" s="449"/>
      <c r="K88" s="449"/>
      <c r="L88" s="449"/>
      <c r="M88" s="449"/>
      <c r="N88" s="449"/>
      <c r="O88" s="449"/>
      <c r="P88" s="449"/>
      <c r="Q88" s="450"/>
    </row>
    <row r="89" spans="1:18" s="447" customFormat="1" ht="39.950000000000003" customHeight="1" x14ac:dyDescent="0.25">
      <c r="B89" s="1773" t="s">
        <v>102</v>
      </c>
      <c r="C89" s="1774"/>
      <c r="D89" s="451"/>
      <c r="E89" s="278" t="e">
        <f>I7</f>
        <v>#N/A</v>
      </c>
      <c r="F89" s="452" t="s">
        <v>4</v>
      </c>
      <c r="G89" s="251" t="e">
        <f>O7</f>
        <v>#N/A</v>
      </c>
      <c r="H89" s="251" t="e">
        <f>E89/G89</f>
        <v>#N/A</v>
      </c>
      <c r="I89" s="452" t="s">
        <v>4</v>
      </c>
      <c r="J89" s="453" t="e">
        <f>K66</f>
        <v>#N/A</v>
      </c>
      <c r="K89" s="454"/>
      <c r="L89" s="277" t="e">
        <f>H89*J89</f>
        <v>#N/A</v>
      </c>
      <c r="M89" s="454" t="s">
        <v>4</v>
      </c>
      <c r="N89" s="453" t="e">
        <f>L89^2</f>
        <v>#N/A</v>
      </c>
      <c r="O89" s="454" t="s">
        <v>17</v>
      </c>
      <c r="P89" s="454" t="s">
        <v>103</v>
      </c>
      <c r="Q89" s="1233">
        <v>50</v>
      </c>
      <c r="R89" s="1298" t="e">
        <f>(L89/$N$119)^2</f>
        <v>#N/A</v>
      </c>
    </row>
    <row r="90" spans="1:18" s="21" customFormat="1" ht="39.950000000000003" customHeight="1" thickBot="1" x14ac:dyDescent="0.3">
      <c r="A90" s="1766"/>
      <c r="B90" s="1767" t="s">
        <v>104</v>
      </c>
      <c r="C90" s="1768"/>
      <c r="D90" s="451"/>
      <c r="E90" s="279" t="e">
        <f>K7</f>
        <v>#N/A</v>
      </c>
      <c r="F90" s="455" t="s">
        <v>4</v>
      </c>
      <c r="G90" s="279">
        <f>SQRT(12)</f>
        <v>3.4641016151377544</v>
      </c>
      <c r="H90" s="251" t="e">
        <f>E90/G90</f>
        <v>#N/A</v>
      </c>
      <c r="I90" s="455" t="str">
        <f>F90</f>
        <v>mL</v>
      </c>
      <c r="J90" s="453" t="e">
        <f>K66</f>
        <v>#N/A</v>
      </c>
      <c r="K90" s="454"/>
      <c r="L90" s="277" t="e">
        <f>H90*J90</f>
        <v>#N/A</v>
      </c>
      <c r="M90" s="454" t="s">
        <v>4</v>
      </c>
      <c r="N90" s="453" t="e">
        <f>L90^2</f>
        <v>#N/A</v>
      </c>
      <c r="O90" s="454" t="s">
        <v>17</v>
      </c>
      <c r="P90" s="454" t="s">
        <v>5</v>
      </c>
      <c r="Q90" s="1233" t="s">
        <v>11</v>
      </c>
      <c r="R90" s="1298" t="e">
        <f t="shared" ref="R90:R118" si="2">(L90/$N$119)^2</f>
        <v>#N/A</v>
      </c>
    </row>
    <row r="91" spans="1:18" s="21" customFormat="1" ht="5.0999999999999996" customHeight="1" thickBot="1" x14ac:dyDescent="0.3">
      <c r="A91" s="1766"/>
      <c r="B91" s="1769"/>
      <c r="C91" s="1770"/>
      <c r="D91" s="456"/>
      <c r="E91" s="141"/>
      <c r="F91" s="141"/>
      <c r="G91" s="141"/>
      <c r="H91" s="141"/>
      <c r="I91" s="141"/>
      <c r="J91" s="141"/>
      <c r="K91" s="141"/>
      <c r="L91" s="141"/>
      <c r="M91" s="141"/>
      <c r="N91" s="457"/>
      <c r="O91" s="141"/>
      <c r="P91" s="141"/>
      <c r="Q91" s="458"/>
      <c r="R91" s="1237"/>
    </row>
    <row r="92" spans="1:18" s="447" customFormat="1" ht="39.950000000000003" customHeight="1" x14ac:dyDescent="0.25">
      <c r="B92" s="1771" t="s">
        <v>178</v>
      </c>
      <c r="C92" s="1772"/>
      <c r="D92" s="459" t="e">
        <f>C18</f>
        <v>#N/A</v>
      </c>
      <c r="E92" s="460"/>
      <c r="F92" s="141"/>
      <c r="G92" s="141"/>
      <c r="H92" s="141"/>
      <c r="I92" s="141"/>
      <c r="J92" s="141"/>
      <c r="K92" s="141"/>
      <c r="L92" s="141"/>
      <c r="M92" s="141"/>
      <c r="N92" s="457"/>
      <c r="O92" s="141"/>
      <c r="P92" s="141"/>
      <c r="Q92" s="458"/>
      <c r="R92" s="1237"/>
    </row>
    <row r="93" spans="1:18" s="21" customFormat="1" ht="39.950000000000003" customHeight="1" x14ac:dyDescent="0.25">
      <c r="A93" s="22"/>
      <c r="B93" s="1773" t="s">
        <v>179</v>
      </c>
      <c r="C93" s="1774"/>
      <c r="D93" s="461"/>
      <c r="E93" s="277" t="e">
        <f>I18</f>
        <v>#N/A</v>
      </c>
      <c r="F93" s="462" t="str">
        <f>F19</f>
        <v>mL</v>
      </c>
      <c r="G93" s="463" t="e">
        <f>O18</f>
        <v>#N/A</v>
      </c>
      <c r="H93" s="277" t="e">
        <f>E93/G93</f>
        <v>#N/A</v>
      </c>
      <c r="I93" s="462" t="str">
        <f>F93</f>
        <v>mL</v>
      </c>
      <c r="J93" s="463">
        <f>K82</f>
        <v>1</v>
      </c>
      <c r="K93" s="462"/>
      <c r="L93" s="521" t="e">
        <f>H93*J93</f>
        <v>#N/A</v>
      </c>
      <c r="M93" s="462" t="s">
        <v>4</v>
      </c>
      <c r="N93" s="453" t="e">
        <f>L93^2</f>
        <v>#N/A</v>
      </c>
      <c r="O93" s="454" t="s">
        <v>17</v>
      </c>
      <c r="P93" s="454" t="s">
        <v>103</v>
      </c>
      <c r="Q93" s="1233">
        <v>50</v>
      </c>
      <c r="R93" s="1298" t="e">
        <f t="shared" si="2"/>
        <v>#N/A</v>
      </c>
    </row>
    <row r="94" spans="1:18" s="447" customFormat="1" ht="39.950000000000003" customHeight="1" x14ac:dyDescent="0.25">
      <c r="B94" s="1773" t="s">
        <v>180</v>
      </c>
      <c r="C94" s="1774"/>
      <c r="D94" s="461"/>
      <c r="E94" s="278" t="e">
        <f>E18</f>
        <v>#N/A</v>
      </c>
      <c r="F94" s="462" t="str">
        <f>F19</f>
        <v>mL</v>
      </c>
      <c r="G94" s="277">
        <f>SQRT(12)</f>
        <v>3.4641016151377544</v>
      </c>
      <c r="H94" s="277" t="e">
        <f>E94/G94</f>
        <v>#N/A</v>
      </c>
      <c r="I94" s="462" t="str">
        <f>F94</f>
        <v>mL</v>
      </c>
      <c r="J94" s="463">
        <f>K82</f>
        <v>1</v>
      </c>
      <c r="K94" s="462"/>
      <c r="L94" s="453" t="e">
        <f>H94*J94</f>
        <v>#N/A</v>
      </c>
      <c r="M94" s="462" t="s">
        <v>4</v>
      </c>
      <c r="N94" s="453" t="e">
        <f>L94^2</f>
        <v>#N/A</v>
      </c>
      <c r="O94" s="454" t="s">
        <v>17</v>
      </c>
      <c r="P94" s="454" t="s">
        <v>5</v>
      </c>
      <c r="Q94" s="1233" t="s">
        <v>11</v>
      </c>
      <c r="R94" s="1298" t="e">
        <f t="shared" si="2"/>
        <v>#N/A</v>
      </c>
    </row>
    <row r="95" spans="1:18" s="21" customFormat="1" ht="39.950000000000003" customHeight="1" thickBot="1" x14ac:dyDescent="0.3">
      <c r="A95" s="22"/>
      <c r="B95" s="1767" t="s">
        <v>181</v>
      </c>
      <c r="C95" s="1768"/>
      <c r="D95" s="461"/>
      <c r="E95" s="277" t="e">
        <f>K18</f>
        <v>#N/A</v>
      </c>
      <c r="F95" s="462" t="str">
        <f>F19</f>
        <v>mL</v>
      </c>
      <c r="G95" s="279">
        <f>SQRT(12)</f>
        <v>3.4641016151377544</v>
      </c>
      <c r="H95" s="278" t="e">
        <f>E95/G95</f>
        <v>#N/A</v>
      </c>
      <c r="I95" s="462" t="str">
        <f>F95</f>
        <v>mL</v>
      </c>
      <c r="J95" s="463">
        <f>K82</f>
        <v>1</v>
      </c>
      <c r="K95" s="462"/>
      <c r="L95" s="464" t="e">
        <f>H95*J95</f>
        <v>#N/A</v>
      </c>
      <c r="M95" s="462" t="s">
        <v>4</v>
      </c>
      <c r="N95" s="453" t="e">
        <f>L95^2</f>
        <v>#N/A</v>
      </c>
      <c r="O95" s="454" t="s">
        <v>17</v>
      </c>
      <c r="P95" s="454" t="s">
        <v>5</v>
      </c>
      <c r="Q95" s="1233" t="s">
        <v>11</v>
      </c>
      <c r="R95" s="1298" t="e">
        <f t="shared" si="2"/>
        <v>#N/A</v>
      </c>
    </row>
    <row r="96" spans="1:18" s="21" customFormat="1" ht="5.0999999999999996" customHeight="1" thickBot="1" x14ac:dyDescent="0.3">
      <c r="A96" s="22"/>
      <c r="B96" s="465"/>
      <c r="C96" s="466"/>
      <c r="D96" s="467"/>
      <c r="E96" s="468"/>
      <c r="F96" s="469"/>
      <c r="G96" s="470"/>
      <c r="H96" s="471"/>
      <c r="I96" s="472"/>
      <c r="J96" s="473"/>
      <c r="K96" s="474"/>
      <c r="L96" s="471"/>
      <c r="M96" s="471"/>
      <c r="N96" s="474"/>
      <c r="O96" s="471"/>
      <c r="P96" s="471"/>
      <c r="Q96" s="475"/>
      <c r="R96" s="1237"/>
    </row>
    <row r="97" spans="1:90" s="21" customFormat="1" ht="39.950000000000003" customHeight="1" x14ac:dyDescent="0.25">
      <c r="A97" s="22"/>
      <c r="B97" s="1771" t="s">
        <v>105</v>
      </c>
      <c r="C97" s="1772"/>
      <c r="D97" s="459" t="e">
        <f>G47</f>
        <v>#N/A</v>
      </c>
      <c r="E97" s="1230" t="e">
        <f>G47</f>
        <v>#N/A</v>
      </c>
      <c r="F97" s="455" t="s">
        <v>3</v>
      </c>
      <c r="G97" s="141"/>
      <c r="H97" s="141"/>
      <c r="I97" s="141"/>
      <c r="J97" s="476"/>
      <c r="K97" s="141"/>
      <c r="L97" s="141"/>
      <c r="M97" s="141"/>
      <c r="N97" s="457"/>
      <c r="O97" s="141"/>
      <c r="P97" s="141"/>
      <c r="Q97" s="458"/>
      <c r="R97" s="1237"/>
    </row>
    <row r="98" spans="1:90" s="21" customFormat="1" ht="39.950000000000003" customHeight="1" x14ac:dyDescent="0.25">
      <c r="A98" s="22"/>
      <c r="B98" s="1773" t="s">
        <v>106</v>
      </c>
      <c r="C98" s="1774"/>
      <c r="D98" s="459" t="e">
        <f>E11</f>
        <v>#N/A</v>
      </c>
      <c r="E98" s="277" t="e">
        <f>E9</f>
        <v>#N/A</v>
      </c>
      <c r="F98" s="455" t="s">
        <v>3</v>
      </c>
      <c r="G98" s="251">
        <f>SQRT(12)</f>
        <v>3.4641016151377544</v>
      </c>
      <c r="H98" s="251" t="e">
        <f>E98/G98</f>
        <v>#N/A</v>
      </c>
      <c r="I98" s="99" t="s">
        <v>3</v>
      </c>
      <c r="J98" s="464" t="e">
        <f>K68</f>
        <v>#N/A</v>
      </c>
      <c r="K98" s="454" t="s">
        <v>457</v>
      </c>
      <c r="L98" s="251" t="e">
        <f t="shared" ref="L98:L111" si="3">H98*J98</f>
        <v>#N/A</v>
      </c>
      <c r="M98" s="454" t="s">
        <v>4</v>
      </c>
      <c r="N98" s="453" t="e">
        <f t="shared" ref="N98:N111" si="4">L98^2</f>
        <v>#N/A</v>
      </c>
      <c r="O98" s="454" t="s">
        <v>18</v>
      </c>
      <c r="P98" s="454" t="s">
        <v>5</v>
      </c>
      <c r="Q98" s="1233" t="s">
        <v>11</v>
      </c>
      <c r="R98" s="1298" t="e">
        <f t="shared" si="2"/>
        <v>#N/A</v>
      </c>
    </row>
    <row r="99" spans="1:90" s="447" customFormat="1" ht="39.950000000000003" customHeight="1" x14ac:dyDescent="0.25">
      <c r="B99" s="1773" t="s">
        <v>107</v>
      </c>
      <c r="C99" s="1774"/>
      <c r="D99" s="461"/>
      <c r="E99" s="277" t="e">
        <f>MAX(I8:I12)</f>
        <v>#N/A</v>
      </c>
      <c r="F99" s="455" t="str">
        <f>F14</f>
        <v>°C</v>
      </c>
      <c r="G99" s="251" t="e">
        <f>O9</f>
        <v>#N/A</v>
      </c>
      <c r="H99" s="251" t="e">
        <f t="shared" ref="H99:H111" si="5">E99/G99</f>
        <v>#N/A</v>
      </c>
      <c r="I99" s="99" t="s">
        <v>3</v>
      </c>
      <c r="J99" s="464" t="e">
        <f>K68</f>
        <v>#N/A</v>
      </c>
      <c r="K99" s="454" t="s">
        <v>457</v>
      </c>
      <c r="L99" s="251" t="e">
        <f t="shared" si="3"/>
        <v>#N/A</v>
      </c>
      <c r="M99" s="454" t="s">
        <v>4</v>
      </c>
      <c r="N99" s="453" t="e">
        <f t="shared" si="4"/>
        <v>#N/A</v>
      </c>
      <c r="O99" s="454" t="s">
        <v>17</v>
      </c>
      <c r="P99" s="454" t="s">
        <v>103</v>
      </c>
      <c r="Q99" s="1233">
        <v>50</v>
      </c>
      <c r="R99" s="1298" t="e">
        <f t="shared" si="2"/>
        <v>#N/A</v>
      </c>
    </row>
    <row r="100" spans="1:90" s="21" customFormat="1" ht="39.950000000000003" customHeight="1" x14ac:dyDescent="0.25">
      <c r="A100" s="22"/>
      <c r="B100" s="1773" t="s">
        <v>104</v>
      </c>
      <c r="C100" s="1774"/>
      <c r="D100" s="461"/>
      <c r="E100" s="277" t="e">
        <f>VLOOKUP(D97,C8:K12,9,TRUE)</f>
        <v>#N/A</v>
      </c>
      <c r="F100" s="455" t="str">
        <f>F14</f>
        <v>°C</v>
      </c>
      <c r="G100" s="279">
        <f>SQRT(12)</f>
        <v>3.4641016151377544</v>
      </c>
      <c r="H100" s="251" t="e">
        <f>E100/G100</f>
        <v>#N/A</v>
      </c>
      <c r="I100" s="99" t="s">
        <v>3</v>
      </c>
      <c r="J100" s="464" t="e">
        <f>K68</f>
        <v>#N/A</v>
      </c>
      <c r="K100" s="454" t="s">
        <v>457</v>
      </c>
      <c r="L100" s="251" t="e">
        <f t="shared" si="3"/>
        <v>#N/A</v>
      </c>
      <c r="M100" s="454" t="s">
        <v>4</v>
      </c>
      <c r="N100" s="453" t="e">
        <f t="shared" si="4"/>
        <v>#N/A</v>
      </c>
      <c r="O100" s="454" t="s">
        <v>17</v>
      </c>
      <c r="P100" s="454" t="s">
        <v>5</v>
      </c>
      <c r="Q100" s="1233" t="s">
        <v>11</v>
      </c>
      <c r="R100" s="1298" t="e">
        <f t="shared" si="2"/>
        <v>#N/A</v>
      </c>
    </row>
    <row r="101" spans="1:90" s="21" customFormat="1" ht="39.950000000000003" customHeight="1" x14ac:dyDescent="0.25">
      <c r="A101" s="22"/>
      <c r="B101" s="1773" t="s">
        <v>108</v>
      </c>
      <c r="C101" s="1774"/>
      <c r="D101" s="461"/>
      <c r="E101" s="277" t="e">
        <f>(MAX(D44:D46)-(MIN(D44:D46)))</f>
        <v>#N/A</v>
      </c>
      <c r="F101" s="455" t="str">
        <f>F14</f>
        <v>°C</v>
      </c>
      <c r="G101" s="251">
        <f>SQRT(12)</f>
        <v>3.4641016151377544</v>
      </c>
      <c r="H101" s="251" t="e">
        <f t="shared" si="5"/>
        <v>#N/A</v>
      </c>
      <c r="I101" s="99" t="s">
        <v>3</v>
      </c>
      <c r="J101" s="464" t="e">
        <f>K68</f>
        <v>#N/A</v>
      </c>
      <c r="K101" s="454" t="s">
        <v>457</v>
      </c>
      <c r="L101" s="251" t="e">
        <f t="shared" si="3"/>
        <v>#N/A</v>
      </c>
      <c r="M101" s="454" t="s">
        <v>4</v>
      </c>
      <c r="N101" s="453" t="e">
        <f t="shared" si="4"/>
        <v>#N/A</v>
      </c>
      <c r="O101" s="454" t="s">
        <v>18</v>
      </c>
      <c r="P101" s="454" t="s">
        <v>5</v>
      </c>
      <c r="Q101" s="1233" t="s">
        <v>11</v>
      </c>
      <c r="R101" s="1298" t="e">
        <f t="shared" si="2"/>
        <v>#N/A</v>
      </c>
    </row>
    <row r="102" spans="1:90" s="21" customFormat="1" ht="39.950000000000003" customHeight="1" x14ac:dyDescent="0.25">
      <c r="A102" s="22"/>
      <c r="B102" s="1773" t="s">
        <v>109</v>
      </c>
      <c r="C102" s="1774"/>
      <c r="D102" s="459" t="e">
        <f>N47</f>
        <v>#N/A</v>
      </c>
      <c r="E102" s="1230">
        <f>M50</f>
        <v>0</v>
      </c>
      <c r="F102" s="455" t="str">
        <f>F14</f>
        <v>°C</v>
      </c>
      <c r="G102" s="141"/>
      <c r="H102" s="141"/>
      <c r="I102" s="141"/>
      <c r="J102" s="476"/>
      <c r="K102" s="141"/>
      <c r="L102" s="141"/>
      <c r="M102" s="141"/>
      <c r="N102" s="457"/>
      <c r="O102" s="141"/>
      <c r="P102" s="141"/>
      <c r="Q102" s="458"/>
      <c r="R102" s="1237"/>
    </row>
    <row r="103" spans="1:90" s="21" customFormat="1" ht="39.950000000000003" customHeight="1" x14ac:dyDescent="0.25">
      <c r="A103" s="22"/>
      <c r="B103" s="1773" t="s">
        <v>106</v>
      </c>
      <c r="C103" s="1774"/>
      <c r="D103" s="246" t="e">
        <f>E14</f>
        <v>#N/A</v>
      </c>
      <c r="E103" s="277" t="e">
        <f>E14</f>
        <v>#N/A</v>
      </c>
      <c r="F103" s="454" t="str">
        <f>F14</f>
        <v>°C</v>
      </c>
      <c r="G103" s="251">
        <f>SQRT(12)</f>
        <v>3.4641016151377544</v>
      </c>
      <c r="H103" s="251" t="e">
        <f t="shared" si="5"/>
        <v>#N/A</v>
      </c>
      <c r="I103" s="99" t="s">
        <v>3</v>
      </c>
      <c r="J103" s="453" t="e">
        <f>K70</f>
        <v>#N/A</v>
      </c>
      <c r="K103" s="454" t="s">
        <v>457</v>
      </c>
      <c r="L103" s="251" t="e">
        <f t="shared" si="3"/>
        <v>#N/A</v>
      </c>
      <c r="M103" s="454" t="s">
        <v>4</v>
      </c>
      <c r="N103" s="453" t="e">
        <f t="shared" si="4"/>
        <v>#N/A</v>
      </c>
      <c r="O103" s="454" t="s">
        <v>18</v>
      </c>
      <c r="P103" s="454" t="s">
        <v>5</v>
      </c>
      <c r="Q103" s="1233" t="s">
        <v>11</v>
      </c>
      <c r="R103" s="1298" t="e">
        <f t="shared" si="2"/>
        <v>#N/A</v>
      </c>
    </row>
    <row r="104" spans="1:90" s="447" customFormat="1" ht="39.950000000000003" customHeight="1" x14ac:dyDescent="0.25">
      <c r="B104" s="1783" t="s">
        <v>107</v>
      </c>
      <c r="C104" s="1784"/>
      <c r="D104" s="461"/>
      <c r="E104" s="277" t="e">
        <f>MAX(I13:I17)</f>
        <v>#N/A</v>
      </c>
      <c r="F104" s="455" t="str">
        <f>F14</f>
        <v>°C</v>
      </c>
      <c r="G104" s="463" t="e">
        <f>O14</f>
        <v>#N/A</v>
      </c>
      <c r="H104" s="251" t="e">
        <f t="shared" si="5"/>
        <v>#N/A</v>
      </c>
      <c r="I104" s="99" t="s">
        <v>3</v>
      </c>
      <c r="J104" s="453" t="e">
        <f>K70</f>
        <v>#N/A</v>
      </c>
      <c r="K104" s="454" t="s">
        <v>457</v>
      </c>
      <c r="L104" s="251" t="e">
        <f>H104*J104</f>
        <v>#N/A</v>
      </c>
      <c r="M104" s="454" t="s">
        <v>4</v>
      </c>
      <c r="N104" s="453" t="e">
        <f>L104^2</f>
        <v>#N/A</v>
      </c>
      <c r="O104" s="454" t="s">
        <v>17</v>
      </c>
      <c r="P104" s="454" t="s">
        <v>103</v>
      </c>
      <c r="Q104" s="1233">
        <v>50</v>
      </c>
      <c r="R104" s="1298" t="e">
        <f t="shared" si="2"/>
        <v>#N/A</v>
      </c>
    </row>
    <row r="105" spans="1:90" s="21" customFormat="1" ht="39.950000000000003" customHeight="1" x14ac:dyDescent="0.25">
      <c r="A105" s="22"/>
      <c r="B105" s="1783" t="s">
        <v>104</v>
      </c>
      <c r="C105" s="1784"/>
      <c r="D105" s="477"/>
      <c r="E105" s="1230" t="e">
        <f>VLOOKUP(D102,C13:K17,9,TRUE)</f>
        <v>#N/A</v>
      </c>
      <c r="F105" s="455" t="str">
        <f>F14</f>
        <v>°C</v>
      </c>
      <c r="G105" s="279">
        <f>SQRT(12)</f>
        <v>3.4641016151377544</v>
      </c>
      <c r="H105" s="251" t="e">
        <f t="shared" si="5"/>
        <v>#N/A</v>
      </c>
      <c r="I105" s="99" t="s">
        <v>3</v>
      </c>
      <c r="J105" s="453" t="e">
        <f>K70</f>
        <v>#N/A</v>
      </c>
      <c r="K105" s="454" t="s">
        <v>457</v>
      </c>
      <c r="L105" s="251" t="e">
        <f t="shared" si="3"/>
        <v>#N/A</v>
      </c>
      <c r="M105" s="454" t="s">
        <v>4</v>
      </c>
      <c r="N105" s="453" t="e">
        <f t="shared" si="4"/>
        <v>#N/A</v>
      </c>
      <c r="O105" s="454" t="s">
        <v>17</v>
      </c>
      <c r="P105" s="454" t="s">
        <v>5</v>
      </c>
      <c r="Q105" s="1233" t="s">
        <v>11</v>
      </c>
      <c r="R105" s="1298" t="e">
        <f t="shared" si="2"/>
        <v>#N/A</v>
      </c>
    </row>
    <row r="106" spans="1:90" s="21" customFormat="1" ht="39.950000000000003" customHeight="1" x14ac:dyDescent="0.25">
      <c r="A106" s="22"/>
      <c r="B106" s="1783" t="s">
        <v>108</v>
      </c>
      <c r="C106" s="1784"/>
      <c r="D106" s="451"/>
      <c r="E106" s="1230" t="e">
        <f>(MAX(J44:J46)-(MIN(J44:J46)))</f>
        <v>#N/A</v>
      </c>
      <c r="F106" s="455" t="str">
        <f>F14</f>
        <v>°C</v>
      </c>
      <c r="G106" s="251">
        <f>SQRT(12)</f>
        <v>3.4641016151377544</v>
      </c>
      <c r="H106" s="251" t="e">
        <f t="shared" si="5"/>
        <v>#N/A</v>
      </c>
      <c r="I106" s="99" t="s">
        <v>3</v>
      </c>
      <c r="J106" s="453" t="e">
        <f>K70</f>
        <v>#N/A</v>
      </c>
      <c r="K106" s="454" t="s">
        <v>457</v>
      </c>
      <c r="L106" s="251" t="e">
        <f t="shared" si="3"/>
        <v>#N/A</v>
      </c>
      <c r="M106" s="454" t="s">
        <v>4</v>
      </c>
      <c r="N106" s="453" t="e">
        <f t="shared" si="4"/>
        <v>#N/A</v>
      </c>
      <c r="O106" s="454" t="s">
        <v>18</v>
      </c>
      <c r="P106" s="454" t="s">
        <v>5</v>
      </c>
      <c r="Q106" s="1233" t="s">
        <v>11</v>
      </c>
      <c r="R106" s="1298" t="e">
        <f t="shared" si="2"/>
        <v>#N/A</v>
      </c>
    </row>
    <row r="107" spans="1:90" s="21" customFormat="1" ht="39.950000000000003" customHeight="1" x14ac:dyDescent="0.25">
      <c r="A107" s="22"/>
      <c r="B107" s="1783" t="s">
        <v>160</v>
      </c>
      <c r="C107" s="1784"/>
      <c r="D107" s="478" t="e">
        <f>D37</f>
        <v>#N/A</v>
      </c>
      <c r="E107" s="1230" t="e">
        <f>D37</f>
        <v>#N/A</v>
      </c>
      <c r="F107" s="454" t="s">
        <v>10</v>
      </c>
      <c r="G107" s="141"/>
      <c r="H107" s="141"/>
      <c r="I107" s="141"/>
      <c r="J107" s="476"/>
      <c r="K107" s="141"/>
      <c r="L107" s="141"/>
      <c r="M107" s="141"/>
      <c r="N107" s="141"/>
      <c r="O107" s="141"/>
      <c r="P107" s="141"/>
      <c r="Q107" s="458"/>
      <c r="R107" s="1237"/>
    </row>
    <row r="108" spans="1:90" s="447" customFormat="1" ht="45.95" customHeight="1" x14ac:dyDescent="0.25">
      <c r="A108" s="22"/>
      <c r="B108" s="1783" t="s">
        <v>370</v>
      </c>
      <c r="C108" s="1784"/>
      <c r="D108" s="451"/>
      <c r="E108" s="1230" t="e">
        <f>(D37*5%)</f>
        <v>#N/A</v>
      </c>
      <c r="F108" s="454" t="s">
        <v>10</v>
      </c>
      <c r="G108" s="251">
        <f>SQRT(3)</f>
        <v>1.7320508075688772</v>
      </c>
      <c r="H108" s="251" t="e">
        <f>E108/G108</f>
        <v>#N/A</v>
      </c>
      <c r="I108" s="454" t="s">
        <v>10</v>
      </c>
      <c r="J108" s="521" t="e">
        <f>K76</f>
        <v>#N/A</v>
      </c>
      <c r="K108" s="100" t="s">
        <v>277</v>
      </c>
      <c r="L108" s="251" t="e">
        <f t="shared" si="3"/>
        <v>#N/A</v>
      </c>
      <c r="M108" s="454" t="s">
        <v>4</v>
      </c>
      <c r="N108" s="453" t="e">
        <f t="shared" si="4"/>
        <v>#N/A</v>
      </c>
      <c r="O108" s="454" t="s">
        <v>110</v>
      </c>
      <c r="P108" s="454" t="s">
        <v>5</v>
      </c>
      <c r="Q108" s="1233" t="s">
        <v>11</v>
      </c>
      <c r="R108" s="1298" t="e">
        <f t="shared" si="2"/>
        <v>#N/A</v>
      </c>
      <c r="S108" s="21"/>
    </row>
    <row r="109" spans="1:90" s="480" customFormat="1" ht="45.95" customHeight="1" x14ac:dyDescent="0.25">
      <c r="A109" s="22"/>
      <c r="B109" s="1783" t="s">
        <v>369</v>
      </c>
      <c r="C109" s="1784"/>
      <c r="D109" s="246" t="s">
        <v>1</v>
      </c>
      <c r="E109" s="1230" t="e">
        <f>(D33*5%)</f>
        <v>#N/A</v>
      </c>
      <c r="F109" s="454" t="s">
        <v>10</v>
      </c>
      <c r="G109" s="251">
        <f>SQRT(3)</f>
        <v>1.7320508075688772</v>
      </c>
      <c r="H109" s="251" t="e">
        <f t="shared" si="5"/>
        <v>#N/A</v>
      </c>
      <c r="I109" s="454" t="s">
        <v>10</v>
      </c>
      <c r="J109" s="280" t="e">
        <f>K72</f>
        <v>#N/A</v>
      </c>
      <c r="K109" s="100" t="s">
        <v>277</v>
      </c>
      <c r="L109" s="251" t="e">
        <f t="shared" si="3"/>
        <v>#N/A</v>
      </c>
      <c r="M109" s="454" t="s">
        <v>4</v>
      </c>
      <c r="N109" s="453" t="e">
        <f t="shared" si="4"/>
        <v>#N/A</v>
      </c>
      <c r="O109" s="454" t="s">
        <v>111</v>
      </c>
      <c r="P109" s="454" t="s">
        <v>5</v>
      </c>
      <c r="Q109" s="1233" t="s">
        <v>11</v>
      </c>
      <c r="R109" s="1298" t="e">
        <f t="shared" si="2"/>
        <v>#N/A</v>
      </c>
      <c r="S109" s="24"/>
      <c r="T109" s="24"/>
      <c r="U109" s="24"/>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c r="BY109" s="21"/>
      <c r="BZ109" s="21"/>
      <c r="CA109" s="21"/>
      <c r="CB109" s="21"/>
      <c r="CC109" s="21"/>
      <c r="CD109" s="21"/>
      <c r="CE109" s="21"/>
      <c r="CF109" s="21"/>
      <c r="CG109" s="21"/>
      <c r="CH109" s="21"/>
      <c r="CI109" s="21"/>
      <c r="CJ109" s="21"/>
      <c r="CK109" s="21"/>
      <c r="CL109" s="21"/>
    </row>
    <row r="110" spans="1:90" s="447" customFormat="1" ht="45.95" customHeight="1" x14ac:dyDescent="0.25">
      <c r="B110" s="1783" t="s">
        <v>369</v>
      </c>
      <c r="C110" s="1784"/>
      <c r="D110" s="246" t="s">
        <v>0</v>
      </c>
      <c r="E110" s="1230" t="e">
        <f>(F33*5%)</f>
        <v>#N/A</v>
      </c>
      <c r="F110" s="454" t="s">
        <v>10</v>
      </c>
      <c r="G110" s="251">
        <f>SQRT(3)</f>
        <v>1.7320508075688772</v>
      </c>
      <c r="H110" s="251" t="e">
        <f t="shared" si="5"/>
        <v>#N/A</v>
      </c>
      <c r="I110" s="454" t="s">
        <v>10</v>
      </c>
      <c r="J110" s="280" t="e">
        <f>K74</f>
        <v>#N/A</v>
      </c>
      <c r="K110" s="100" t="s">
        <v>277</v>
      </c>
      <c r="L110" s="251" t="e">
        <f t="shared" si="3"/>
        <v>#N/A</v>
      </c>
      <c r="M110" s="454" t="s">
        <v>4</v>
      </c>
      <c r="N110" s="453" t="e">
        <f t="shared" si="4"/>
        <v>#N/A</v>
      </c>
      <c r="O110" s="454" t="s">
        <v>112</v>
      </c>
      <c r="P110" s="454" t="s">
        <v>5</v>
      </c>
      <c r="Q110" s="1233" t="s">
        <v>11</v>
      </c>
      <c r="R110" s="1298" t="e">
        <f t="shared" si="2"/>
        <v>#N/A</v>
      </c>
    </row>
    <row r="111" spans="1:90" s="21" customFormat="1" ht="45.95" customHeight="1" x14ac:dyDescent="0.25">
      <c r="A111" s="24"/>
      <c r="B111" s="1684" t="s">
        <v>369</v>
      </c>
      <c r="C111" s="1685"/>
      <c r="D111" s="1188" t="s">
        <v>28</v>
      </c>
      <c r="E111" s="1312" t="e">
        <f>(D36*7.5%)</f>
        <v>#N/A</v>
      </c>
      <c r="F111" s="1189" t="s">
        <v>10</v>
      </c>
      <c r="G111" s="1190">
        <f>SQRT(12)</f>
        <v>3.4641016151377544</v>
      </c>
      <c r="H111" s="1191" t="e">
        <f t="shared" si="5"/>
        <v>#N/A</v>
      </c>
      <c r="I111" s="1189" t="s">
        <v>10</v>
      </c>
      <c r="J111" s="1192">
        <f>K82</f>
        <v>1</v>
      </c>
      <c r="K111" s="1313" t="s">
        <v>277</v>
      </c>
      <c r="L111" s="1191" t="e">
        <f t="shared" si="3"/>
        <v>#N/A</v>
      </c>
      <c r="M111" s="1189" t="s">
        <v>4</v>
      </c>
      <c r="N111" s="1194" t="e">
        <f t="shared" si="4"/>
        <v>#N/A</v>
      </c>
      <c r="O111" s="1189" t="s">
        <v>112</v>
      </c>
      <c r="P111" s="1189" t="s">
        <v>5</v>
      </c>
      <c r="Q111" s="1234" t="s">
        <v>11</v>
      </c>
      <c r="R111" s="1299" t="e">
        <f t="shared" si="2"/>
        <v>#N/A</v>
      </c>
    </row>
    <row r="112" spans="1:90" s="21" customFormat="1" ht="45.95" customHeight="1" thickBot="1" x14ac:dyDescent="0.3">
      <c r="A112" s="24"/>
      <c r="B112" s="1788" t="s">
        <v>627</v>
      </c>
      <c r="C112" s="1789"/>
      <c r="D112" s="1314"/>
      <c r="E112" s="1311">
        <v>0.25703300000000001</v>
      </c>
      <c r="F112" s="1300" t="s">
        <v>4</v>
      </c>
      <c r="G112" s="1306">
        <f>SQRT(9)</f>
        <v>3</v>
      </c>
      <c r="H112" s="1307">
        <f>E112/G112</f>
        <v>8.5677666666666666E-2</v>
      </c>
      <c r="I112" s="1300" t="s">
        <v>4</v>
      </c>
      <c r="J112" s="1308">
        <v>1</v>
      </c>
      <c r="K112" s="1300" t="s">
        <v>4</v>
      </c>
      <c r="L112" s="1307">
        <f>H112*J112</f>
        <v>8.5677666666666666E-2</v>
      </c>
      <c r="M112" s="1300" t="s">
        <v>4</v>
      </c>
      <c r="N112" s="1309">
        <f>L112^2</f>
        <v>7.3406625654444443E-3</v>
      </c>
      <c r="O112" s="1300" t="s">
        <v>608</v>
      </c>
      <c r="P112" s="1300" t="s">
        <v>609</v>
      </c>
      <c r="Q112" s="1300">
        <v>6</v>
      </c>
      <c r="R112" s="1315" t="e">
        <f t="shared" si="2"/>
        <v>#N/A</v>
      </c>
    </row>
    <row r="113" spans="1:31" s="21" customFormat="1" ht="30" customHeight="1" thickBot="1" x14ac:dyDescent="0.3">
      <c r="A113" s="418"/>
      <c r="E113" s="483"/>
      <c r="R113" s="1237"/>
    </row>
    <row r="114" spans="1:31" s="21" customFormat="1" ht="30" customHeight="1" thickBot="1" x14ac:dyDescent="0.3">
      <c r="A114" s="418"/>
      <c r="B114" s="1815" t="s">
        <v>113</v>
      </c>
      <c r="C114" s="1816"/>
      <c r="D114" s="1816"/>
      <c r="E114" s="1816"/>
      <c r="F114" s="1816"/>
      <c r="G114" s="1816"/>
      <c r="H114" s="1816"/>
      <c r="I114" s="1816"/>
      <c r="J114" s="1816"/>
      <c r="K114" s="1816"/>
      <c r="L114" s="1816"/>
      <c r="M114" s="1816"/>
      <c r="N114" s="1816"/>
      <c r="O114" s="1816"/>
      <c r="P114" s="1816"/>
      <c r="Q114" s="1816"/>
      <c r="R114" s="1817"/>
    </row>
    <row r="115" spans="1:31" s="21" customFormat="1" ht="30" customHeight="1" x14ac:dyDescent="0.25">
      <c r="A115" s="22"/>
      <c r="B115" s="1829" t="s">
        <v>114</v>
      </c>
      <c r="C115" s="1830"/>
      <c r="D115" s="1239"/>
      <c r="E115" s="1240" t="e">
        <f>(PI()*(D34)^2/4)*D35</f>
        <v>#N/A</v>
      </c>
      <c r="F115" s="1241" t="s">
        <v>4</v>
      </c>
      <c r="G115" s="1240">
        <f>SQRT(3)</f>
        <v>1.7320508075688772</v>
      </c>
      <c r="H115" s="1240" t="e">
        <f t="shared" ref="H115:H118" si="6">E115/G115</f>
        <v>#N/A</v>
      </c>
      <c r="I115" s="1241" t="s">
        <v>4</v>
      </c>
      <c r="J115" s="1240">
        <v>1</v>
      </c>
      <c r="K115" s="1241"/>
      <c r="L115" s="1240" t="e">
        <f t="shared" ref="L115:L118" si="7">H115*J115</f>
        <v>#N/A</v>
      </c>
      <c r="M115" s="1241" t="s">
        <v>4</v>
      </c>
      <c r="N115" s="1242" t="e">
        <f t="shared" ref="N115:N118" si="8">L115^2</f>
        <v>#N/A</v>
      </c>
      <c r="O115" s="1241" t="s">
        <v>16</v>
      </c>
      <c r="P115" s="1241" t="s">
        <v>5</v>
      </c>
      <c r="Q115" s="1243" t="s">
        <v>11</v>
      </c>
      <c r="R115" s="1298" t="e">
        <f t="shared" si="2"/>
        <v>#N/A</v>
      </c>
    </row>
    <row r="116" spans="1:31" s="21" customFormat="1" ht="30" customHeight="1" x14ac:dyDescent="0.25">
      <c r="B116" s="1688" t="s">
        <v>115</v>
      </c>
      <c r="C116" s="1689"/>
      <c r="D116" s="487"/>
      <c r="E116" s="829" t="e">
        <f>(PI()*(1.5/2)^2*F35)+(PI()*(F34/2)^2*F35)</f>
        <v>#N/A</v>
      </c>
      <c r="F116" s="454" t="s">
        <v>4</v>
      </c>
      <c r="G116" s="251">
        <f>SQRT(3)</f>
        <v>1.7320508075688772</v>
      </c>
      <c r="H116" s="251" t="e">
        <f>E116/G116</f>
        <v>#N/A</v>
      </c>
      <c r="I116" s="454" t="s">
        <v>4</v>
      </c>
      <c r="J116" s="251">
        <v>1</v>
      </c>
      <c r="K116" s="454"/>
      <c r="L116" s="251" t="e">
        <f t="shared" si="7"/>
        <v>#N/A</v>
      </c>
      <c r="M116" s="454" t="s">
        <v>4</v>
      </c>
      <c r="N116" s="453" t="e">
        <f t="shared" si="8"/>
        <v>#N/A</v>
      </c>
      <c r="O116" s="454" t="s">
        <v>16</v>
      </c>
      <c r="P116" s="454" t="s">
        <v>5</v>
      </c>
      <c r="Q116" s="1233" t="s">
        <v>11</v>
      </c>
      <c r="R116" s="1298" t="e">
        <f t="shared" si="2"/>
        <v>#N/A</v>
      </c>
    </row>
    <row r="117" spans="1:31" s="285" customFormat="1" ht="39.950000000000003" customHeight="1" x14ac:dyDescent="0.25">
      <c r="A117" s="283"/>
      <c r="B117" s="1688" t="s">
        <v>116</v>
      </c>
      <c r="C117" s="1689"/>
      <c r="D117" s="487"/>
      <c r="E117" s="488" t="e">
        <f>H59</f>
        <v>#N/A</v>
      </c>
      <c r="F117" s="454" t="s">
        <v>4</v>
      </c>
      <c r="G117" s="279">
        <f>SQRT(B46)</f>
        <v>1.7320508075688772</v>
      </c>
      <c r="H117" s="453" t="e">
        <f t="shared" si="6"/>
        <v>#N/A</v>
      </c>
      <c r="I117" s="454" t="s">
        <v>4</v>
      </c>
      <c r="J117" s="489">
        <v>1</v>
      </c>
      <c r="K117" s="454"/>
      <c r="L117" s="251" t="e">
        <f t="shared" si="7"/>
        <v>#N/A</v>
      </c>
      <c r="M117" s="454" t="s">
        <v>4</v>
      </c>
      <c r="N117" s="453" t="e">
        <f t="shared" si="8"/>
        <v>#N/A</v>
      </c>
      <c r="O117" s="454" t="s">
        <v>6</v>
      </c>
      <c r="P117" s="454" t="s">
        <v>103</v>
      </c>
      <c r="Q117" s="1233">
        <f>B46-1</f>
        <v>2</v>
      </c>
      <c r="R117" s="1298" t="e">
        <f t="shared" si="2"/>
        <v>#N/A</v>
      </c>
      <c r="S117" s="21"/>
      <c r="T117" s="21"/>
      <c r="U117" s="21"/>
    </row>
    <row r="118" spans="1:31" s="324" customFormat="1" ht="45.75" customHeight="1" thickBot="1" x14ac:dyDescent="0.3">
      <c r="A118" s="490" t="s">
        <v>117</v>
      </c>
      <c r="B118" s="1831" t="s">
        <v>118</v>
      </c>
      <c r="C118" s="1832"/>
      <c r="D118" s="830"/>
      <c r="E118" s="831" t="e">
        <f>C122*0.01%</f>
        <v>#N/A</v>
      </c>
      <c r="F118" s="165" t="s">
        <v>4</v>
      </c>
      <c r="G118" s="824">
        <v>1</v>
      </c>
      <c r="H118" s="165" t="e">
        <f t="shared" si="6"/>
        <v>#N/A</v>
      </c>
      <c r="I118" s="165" t="s">
        <v>4</v>
      </c>
      <c r="J118" s="165">
        <v>1</v>
      </c>
      <c r="K118" s="165"/>
      <c r="L118" s="165" t="e">
        <f t="shared" si="7"/>
        <v>#N/A</v>
      </c>
      <c r="M118" s="165" t="s">
        <v>4</v>
      </c>
      <c r="N118" s="482" t="e">
        <f t="shared" si="8"/>
        <v>#N/A</v>
      </c>
      <c r="O118" s="165" t="s">
        <v>119</v>
      </c>
      <c r="P118" s="165" t="s">
        <v>103</v>
      </c>
      <c r="Q118" s="1238" t="s">
        <v>11</v>
      </c>
      <c r="R118" s="1299" t="e">
        <f t="shared" si="2"/>
        <v>#N/A</v>
      </c>
      <c r="S118" s="21"/>
      <c r="T118" s="21"/>
      <c r="U118" s="21"/>
    </row>
    <row r="119" spans="1:31" s="324" customFormat="1" ht="45.75" customHeight="1" thickBot="1" x14ac:dyDescent="0.3">
      <c r="A119" s="22"/>
      <c r="L119" s="491"/>
      <c r="M119" s="492"/>
      <c r="N119" s="140" t="e">
        <f>SQRT(SUM(N89:N90,N93:N95,N98:N101,N103:N106,N108:N111,N112,N115,N116,N117,N118))</f>
        <v>#N/A</v>
      </c>
      <c r="R119" s="1302" t="e">
        <f>SUM(R89:R118)</f>
        <v>#N/A</v>
      </c>
      <c r="S119" s="21"/>
      <c r="T119" s="21"/>
      <c r="U119" s="21"/>
      <c r="V119" s="479"/>
      <c r="W119" s="479"/>
    </row>
    <row r="120" spans="1:31" s="324" customFormat="1" ht="41.25" customHeight="1" thickBot="1" x14ac:dyDescent="0.3">
      <c r="A120" s="22"/>
      <c r="B120" s="1646" t="s">
        <v>121</v>
      </c>
      <c r="C120" s="1647"/>
      <c r="D120" s="1647"/>
      <c r="E120" s="1647"/>
      <c r="F120" s="1647"/>
      <c r="G120" s="1647"/>
      <c r="H120" s="1647"/>
      <c r="I120" s="1647"/>
      <c r="J120" s="1648"/>
      <c r="K120" s="22"/>
      <c r="L120" s="1680" t="s">
        <v>120</v>
      </c>
      <c r="M120" s="1681"/>
      <c r="N120" s="252" t="e">
        <f>E122*N119</f>
        <v>#N/A</v>
      </c>
      <c r="O120" s="22"/>
      <c r="P120" s="22"/>
      <c r="R120" s="90"/>
      <c r="S120" s="21"/>
      <c r="T120" s="21"/>
      <c r="U120" s="21"/>
      <c r="V120" s="479"/>
      <c r="W120" s="479"/>
    </row>
    <row r="121" spans="1:31" s="21" customFormat="1" ht="34.5" customHeight="1" thickBot="1" x14ac:dyDescent="0.3">
      <c r="A121" s="24"/>
      <c r="B121" s="1027"/>
      <c r="C121" s="1028" t="s">
        <v>458</v>
      </c>
      <c r="D121" s="1029" t="s">
        <v>459</v>
      </c>
      <c r="E121" s="1029" t="s">
        <v>94</v>
      </c>
      <c r="F121" s="1029" t="s">
        <v>7</v>
      </c>
      <c r="G121" s="1029" t="s">
        <v>460</v>
      </c>
      <c r="H121" s="1029" t="s">
        <v>8</v>
      </c>
      <c r="I121" s="1029" t="s">
        <v>122</v>
      </c>
      <c r="J121" s="1030" t="s">
        <v>123</v>
      </c>
      <c r="K121" s="497"/>
      <c r="L121" s="1682" t="s">
        <v>380</v>
      </c>
      <c r="M121" s="1683"/>
      <c r="N121" s="139" t="e">
        <f>(N119^4)/((L89^4/Q89)+(L99^4/Q99)+(L104^4/Q104)+(L93^4/Q93)+(L112^4/Q112)+(L117^4/Q117))</f>
        <v>#N/A</v>
      </c>
      <c r="O121" s="22"/>
    </row>
    <row r="122" spans="1:31" s="21" customFormat="1" ht="30" customHeight="1" thickBot="1" x14ac:dyDescent="0.3">
      <c r="A122" s="24"/>
      <c r="B122" s="806" t="s">
        <v>4</v>
      </c>
      <c r="C122" s="1022" t="e">
        <f>H58</f>
        <v>#N/A</v>
      </c>
      <c r="D122" s="498" t="e">
        <f>N119</f>
        <v>#N/A</v>
      </c>
      <c r="E122" s="1818">
        <v>2</v>
      </c>
      <c r="F122" s="832" t="e">
        <f>(D122*E122)</f>
        <v>#N/A</v>
      </c>
      <c r="G122" s="1821">
        <v>95</v>
      </c>
      <c r="H122" s="499" t="e">
        <f>C122-C7</f>
        <v>#N/A</v>
      </c>
      <c r="I122" s="1017" t="e">
        <f>ABS(H122)</f>
        <v>#N/A</v>
      </c>
      <c r="J122" s="501" t="e">
        <f>F122*I122</f>
        <v>#N/A</v>
      </c>
      <c r="K122" s="502"/>
      <c r="O122" s="24"/>
    </row>
    <row r="123" spans="1:31" s="21" customFormat="1" ht="30" customHeight="1" thickBot="1" x14ac:dyDescent="0.3">
      <c r="A123" s="24"/>
      <c r="B123" s="807" t="s">
        <v>461</v>
      </c>
      <c r="C123" s="279" t="e">
        <f>C122/L30</f>
        <v>#N/A</v>
      </c>
      <c r="D123" s="349" t="e">
        <f>D122/L30</f>
        <v>#N/A</v>
      </c>
      <c r="E123" s="1819"/>
      <c r="F123" s="503" t="e">
        <f>D123*E122</f>
        <v>#N/A</v>
      </c>
      <c r="G123" s="1822"/>
      <c r="H123" s="504" t="e">
        <f>H122/L30</f>
        <v>#N/A</v>
      </c>
      <c r="I123" s="348" t="e">
        <f>ABS(H123)</f>
        <v>#N/A</v>
      </c>
      <c r="J123" s="434" t="e">
        <f>F123*I123</f>
        <v>#N/A</v>
      </c>
      <c r="K123" s="24"/>
      <c r="M123" s="1824" t="s">
        <v>94</v>
      </c>
      <c r="N123" s="1825"/>
      <c r="O123" s="24"/>
      <c r="P123" s="1019">
        <v>0.3</v>
      </c>
      <c r="Q123" s="505">
        <v>1.65</v>
      </c>
    </row>
    <row r="124" spans="1:31" s="22" customFormat="1" ht="36.75" customHeight="1" thickBot="1" x14ac:dyDescent="0.3">
      <c r="B124" s="807" t="s">
        <v>9</v>
      </c>
      <c r="C124" s="509" t="e">
        <f>C123/L27</f>
        <v>#N/A</v>
      </c>
      <c r="D124" s="506" t="e">
        <f>D123/L27</f>
        <v>#N/A</v>
      </c>
      <c r="E124" s="1819"/>
      <c r="F124" s="507" t="e">
        <f>D124*E122</f>
        <v>#N/A</v>
      </c>
      <c r="G124" s="1822"/>
      <c r="H124" s="508" t="e">
        <f>H123/L27</f>
        <v>#N/A</v>
      </c>
      <c r="I124" s="509" t="e">
        <f>ABS(H124)</f>
        <v>#N/A</v>
      </c>
      <c r="J124" s="510" t="e">
        <f>F124*I124</f>
        <v>#N/A</v>
      </c>
      <c r="M124" s="511" t="e">
        <f>_xlfn.T.INV.2T(0.05,N121)</f>
        <v>#N/A</v>
      </c>
      <c r="N124" s="512" t="e">
        <f>TINV(0.05,N121)</f>
        <v>#N/A</v>
      </c>
      <c r="P124" s="1826" t="s">
        <v>336</v>
      </c>
      <c r="Q124" s="1827"/>
      <c r="R124" s="1828"/>
      <c r="S124" s="21"/>
      <c r="T124" s="21"/>
      <c r="U124" s="21"/>
      <c r="V124" s="513"/>
      <c r="W124" s="513"/>
      <c r="X124" s="513"/>
      <c r="Y124" s="513"/>
      <c r="Z124" s="513"/>
      <c r="AA124" s="513"/>
    </row>
    <row r="125" spans="1:31" s="21" customFormat="1" ht="42" customHeight="1" thickBot="1" x14ac:dyDescent="0.3">
      <c r="A125" s="24"/>
      <c r="B125" s="1018" t="s">
        <v>274</v>
      </c>
      <c r="C125" s="363" t="e">
        <f>(C122*100)/C7</f>
        <v>#N/A</v>
      </c>
      <c r="D125" s="514" t="e">
        <f>(D124/M27)</f>
        <v>#N/A</v>
      </c>
      <c r="E125" s="1820"/>
      <c r="F125" s="1000" t="e">
        <f>(D125*E122)*100</f>
        <v>#N/A</v>
      </c>
      <c r="G125" s="1823"/>
      <c r="H125" s="515" t="e">
        <f>(H124*100)/M27</f>
        <v>#N/A</v>
      </c>
      <c r="I125" s="516" t="e">
        <f>(I124*100)/M27</f>
        <v>#N/A</v>
      </c>
      <c r="J125" s="514" t="e">
        <f>(J124*100)/M27</f>
        <v>#N/A</v>
      </c>
      <c r="K125" s="24"/>
      <c r="L125" s="24"/>
      <c r="M125" s="180" t="s">
        <v>326</v>
      </c>
      <c r="N125" s="181" t="e">
        <f>MAX(N89:N112,N115:N118)</f>
        <v>#N/A</v>
      </c>
      <c r="O125" s="182" t="e">
        <f>IF((N126)&lt;=(P123),"1,65","k=2")</f>
        <v>#N/A</v>
      </c>
      <c r="P125" s="184" t="s">
        <v>331</v>
      </c>
      <c r="Q125" s="185" t="s">
        <v>332</v>
      </c>
      <c r="R125" s="186" t="s">
        <v>333</v>
      </c>
      <c r="V125" s="1664"/>
      <c r="W125" s="1664"/>
      <c r="X125" s="1664"/>
      <c r="Y125" s="324"/>
      <c r="Z125" s="324"/>
      <c r="AA125" s="324"/>
      <c r="AB125" s="324"/>
      <c r="AC125" s="324"/>
      <c r="AD125" s="324"/>
      <c r="AE125" s="324"/>
    </row>
    <row r="126" spans="1:31" s="21" customFormat="1" ht="30" customHeight="1" thickBot="1" x14ac:dyDescent="0.3">
      <c r="C126" s="517"/>
      <c r="D126" s="409"/>
      <c r="E126" s="518"/>
      <c r="K126" s="22"/>
      <c r="L126" s="22"/>
      <c r="M126" s="182" t="s">
        <v>335</v>
      </c>
      <c r="N126" s="183" t="e">
        <f>(SQRT(SUM(N89,N90,N93:N95,N98:N101,N103:N106,N108:N110,N111,N112,N116,N117,N118)))/N125</f>
        <v>#N/A</v>
      </c>
      <c r="O126" s="22"/>
      <c r="P126" s="187" t="s">
        <v>331</v>
      </c>
      <c r="Q126" s="188" t="s">
        <v>337</v>
      </c>
      <c r="R126" s="189" t="s">
        <v>334</v>
      </c>
      <c r="V126" s="1663"/>
      <c r="W126" s="1663"/>
      <c r="X126" s="1663"/>
    </row>
  </sheetData>
  <sheetProtection password="CF5C" sheet="1" objects="1" scenarios="1"/>
  <mergeCells count="138">
    <mergeCell ref="B114:R114"/>
    <mergeCell ref="V126:X126"/>
    <mergeCell ref="L121:M121"/>
    <mergeCell ref="E122:E125"/>
    <mergeCell ref="G122:G125"/>
    <mergeCell ref="M123:N123"/>
    <mergeCell ref="P124:R124"/>
    <mergeCell ref="V125:X125"/>
    <mergeCell ref="B115:C115"/>
    <mergeCell ref="B116:C116"/>
    <mergeCell ref="B117:C117"/>
    <mergeCell ref="B118:C118"/>
    <mergeCell ref="B120:J120"/>
    <mergeCell ref="L120:M120"/>
    <mergeCell ref="B106:C106"/>
    <mergeCell ref="B107:C107"/>
    <mergeCell ref="B108:C108"/>
    <mergeCell ref="B109:C109"/>
    <mergeCell ref="B110:C110"/>
    <mergeCell ref="B111:C111"/>
    <mergeCell ref="B100:C100"/>
    <mergeCell ref="B101:C101"/>
    <mergeCell ref="B102:C102"/>
    <mergeCell ref="B103:C103"/>
    <mergeCell ref="B104:C104"/>
    <mergeCell ref="B105:C105"/>
    <mergeCell ref="B93:C93"/>
    <mergeCell ref="B94:C94"/>
    <mergeCell ref="B95:C95"/>
    <mergeCell ref="B97:C97"/>
    <mergeCell ref="B98:C98"/>
    <mergeCell ref="B99:C99"/>
    <mergeCell ref="B88:C88"/>
    <mergeCell ref="B89:C89"/>
    <mergeCell ref="A90:A91"/>
    <mergeCell ref="B90:C90"/>
    <mergeCell ref="B91:C91"/>
    <mergeCell ref="B92:C92"/>
    <mergeCell ref="B76:F76"/>
    <mergeCell ref="B78:D78"/>
    <mergeCell ref="B80:D80"/>
    <mergeCell ref="B82:D82"/>
    <mergeCell ref="B87:C87"/>
    <mergeCell ref="B64:L64"/>
    <mergeCell ref="B66:D66"/>
    <mergeCell ref="B68:E68"/>
    <mergeCell ref="B70:E70"/>
    <mergeCell ref="B72:F72"/>
    <mergeCell ref="B74:F74"/>
    <mergeCell ref="B86:R86"/>
    <mergeCell ref="E56:F56"/>
    <mergeCell ref="O56:O57"/>
    <mergeCell ref="E57:F57"/>
    <mergeCell ref="E58:G58"/>
    <mergeCell ref="E59:G59"/>
    <mergeCell ref="E60:G60"/>
    <mergeCell ref="B41:N41"/>
    <mergeCell ref="Q41:Y41"/>
    <mergeCell ref="B42:G42"/>
    <mergeCell ref="I42:N42"/>
    <mergeCell ref="E53:L53"/>
    <mergeCell ref="E54:F54"/>
    <mergeCell ref="O54:O55"/>
    <mergeCell ref="E55:F55"/>
    <mergeCell ref="B47:F47"/>
    <mergeCell ref="I47:M47"/>
    <mergeCell ref="I38:J38"/>
    <mergeCell ref="L38:M38"/>
    <mergeCell ref="B39:C39"/>
    <mergeCell ref="D39:G39"/>
    <mergeCell ref="I39:J39"/>
    <mergeCell ref="L39:M39"/>
    <mergeCell ref="B36:C36"/>
    <mergeCell ref="I36:K36"/>
    <mergeCell ref="L36:N36"/>
    <mergeCell ref="B37:C37"/>
    <mergeCell ref="I37:J37"/>
    <mergeCell ref="L37:M37"/>
    <mergeCell ref="B28:C28"/>
    <mergeCell ref="D28:E28"/>
    <mergeCell ref="F28:G28"/>
    <mergeCell ref="M25:M26"/>
    <mergeCell ref="O25:O26"/>
    <mergeCell ref="P25:P26"/>
    <mergeCell ref="N33:O33"/>
    <mergeCell ref="B34:C34"/>
    <mergeCell ref="B35:C35"/>
    <mergeCell ref="I35:P35"/>
    <mergeCell ref="B29:C29"/>
    <mergeCell ref="B30:C30"/>
    <mergeCell ref="B31:C31"/>
    <mergeCell ref="B32:C32"/>
    <mergeCell ref="B33:C33"/>
    <mergeCell ref="I33:J33"/>
    <mergeCell ref="D26:E26"/>
    <mergeCell ref="F26:G26"/>
    <mergeCell ref="D25:E25"/>
    <mergeCell ref="F25:G25"/>
    <mergeCell ref="I25:I26"/>
    <mergeCell ref="J25:J26"/>
    <mergeCell ref="K25:K26"/>
    <mergeCell ref="L25:L26"/>
    <mergeCell ref="B27:C27"/>
    <mergeCell ref="D27:E27"/>
    <mergeCell ref="F27:G27"/>
    <mergeCell ref="S19:S20"/>
    <mergeCell ref="B24:G24"/>
    <mergeCell ref="I24:R24"/>
    <mergeCell ref="H19:H20"/>
    <mergeCell ref="I19:I20"/>
    <mergeCell ref="J19:J20"/>
    <mergeCell ref="K19:K20"/>
    <mergeCell ref="L19:L20"/>
    <mergeCell ref="M19:M20"/>
    <mergeCell ref="B112:C112"/>
    <mergeCell ref="A1:B1"/>
    <mergeCell ref="D1:R1"/>
    <mergeCell ref="D3:E3"/>
    <mergeCell ref="G3:H3"/>
    <mergeCell ref="J3:K3"/>
    <mergeCell ref="M3:N3"/>
    <mergeCell ref="P3:R3"/>
    <mergeCell ref="A5:R5"/>
    <mergeCell ref="Q6:R6"/>
    <mergeCell ref="A8:A12"/>
    <mergeCell ref="A13:A17"/>
    <mergeCell ref="B19:B20"/>
    <mergeCell ref="C19:C20"/>
    <mergeCell ref="D19:D20"/>
    <mergeCell ref="E19:E20"/>
    <mergeCell ref="F19:F20"/>
    <mergeCell ref="G19:G20"/>
    <mergeCell ref="N19:N20"/>
    <mergeCell ref="O19:O20"/>
    <mergeCell ref="P19:P20"/>
    <mergeCell ref="Q25:Q26"/>
    <mergeCell ref="R25:R26"/>
    <mergeCell ref="B26:C26"/>
  </mergeCells>
  <conditionalFormatting sqref="Q36">
    <cfRule type="colorScale" priority="5">
      <colorScale>
        <cfvo type="min"/>
        <cfvo type="percentile" val="50"/>
        <cfvo type="max"/>
        <color rgb="FFF8696B"/>
        <color rgb="FFFFEB84"/>
        <color rgb="FF63BE7B"/>
      </colorScale>
    </cfRule>
  </conditionalFormatting>
  <conditionalFormatting sqref="Q54">
    <cfRule type="containsText" dxfId="7" priority="3" operator="containsText" text="NO AJUSTAR">
      <formula>NOT(ISERROR(SEARCH("NO AJUSTAR",Q54)))</formula>
    </cfRule>
    <cfRule type="containsText" dxfId="6" priority="4" operator="containsText" text="AJUSTAR">
      <formula>NOT(ISERROR(SEARCH("AJUSTAR",Q54)))</formula>
    </cfRule>
  </conditionalFormatting>
  <conditionalFormatting sqref="Q56">
    <cfRule type="containsText" dxfId="5" priority="1" operator="containsText" text="NO AJUSTAR">
      <formula>NOT(ISERROR(SEARCH("NO AJUSTAR",Q56)))</formula>
    </cfRule>
    <cfRule type="containsText" dxfId="4" priority="2" operator="containsText" text="AJUSTAR">
      <formula>NOT(ISERROR(SEARCH("AJUSTAR",Q56)))</formula>
    </cfRule>
  </conditionalFormatting>
  <pageMargins left="0.70866141732283472" right="0.70866141732283472" top="0.74803149606299213" bottom="0.74803149606299213" header="0.31496062992125984" footer="0.31496062992125984"/>
  <pageSetup scale="24" orientation="portrait" horizontalDpi="4294967293" r:id="rId1"/>
  <headerFooter>
    <oddFooter>&amp;RRT03-F11 Vr.11 (2021-05-10)</oddFooter>
  </headerFooter>
  <rowBreaks count="1" manualBreakCount="1">
    <brk id="60" max="24" man="1"/>
  </rowBreaks>
  <drawing r:id="rId2"/>
  <legacyDrawing r:id="rId3"/>
  <extLst>
    <ext xmlns:x14="http://schemas.microsoft.com/office/spreadsheetml/2009/9/main" uri="{CCE6A557-97BC-4b89-ADB6-D9C93CAAB3DF}">
      <x14:dataValidations xmlns:xm="http://schemas.microsoft.com/office/excel/2006/main" disablePrompts="1" count="14">
        <x14:dataValidation type="list" allowBlank="1" showInputMessage="1" showErrorMessage="1" xr:uid="{00000000-0002-0000-0200-000000000000}">
          <x14:formula1>
            <xm:f>'DATOS %'!$C$30:$C$32</xm:f>
          </x14:formula1>
          <xm:sqref>S7</xm:sqref>
        </x14:dataValidation>
        <x14:dataValidation type="list" allowBlank="1" showInputMessage="1" showErrorMessage="1" xr:uid="{00000000-0002-0000-0200-000001000000}">
          <x14:formula1>
            <xm:f>'DATOS %'!$C$112:$C$117</xm:f>
          </x14:formula1>
          <xm:sqref>S18</xm:sqref>
        </x14:dataValidation>
        <x14:dataValidation type="list" allowBlank="1" showInputMessage="1" showErrorMessage="1" xr:uid="{00000000-0002-0000-0200-000002000000}">
          <x14:formula1>
            <xm:f>'DATOS %'!$C$121:$C$127</xm:f>
          </x14:formula1>
          <xm:sqref>S19:S20</xm:sqref>
        </x14:dataValidation>
        <x14:dataValidation type="list" allowBlank="1" showInputMessage="1" showErrorMessage="1" xr:uid="{00000000-0002-0000-0200-000003000000}">
          <x14:formula1>
            <xm:f>'DATOS %'!$C$131:$C$132</xm:f>
          </x14:formula1>
          <xm:sqref>S21</xm:sqref>
        </x14:dataValidation>
        <x14:dataValidation type="list" allowBlank="1" showInputMessage="1" showErrorMessage="1" xr:uid="{00000000-0002-0000-0200-000004000000}">
          <x14:formula1>
            <xm:f>'DATOS %'!$C$137:$C$152</xm:f>
          </x14:formula1>
          <xm:sqref>S22</xm:sqref>
        </x14:dataValidation>
        <x14:dataValidation type="list" allowBlank="1" showInputMessage="1" showErrorMessage="1" xr:uid="{00000000-0002-0000-0200-000005000000}">
          <x14:formula1>
            <xm:f>'DATOS %'!$B$24:$B$26</xm:f>
          </x14:formula1>
          <xm:sqref>A26</xm:sqref>
        </x14:dataValidation>
        <x14:dataValidation type="list" allowBlank="1" showInputMessage="1" showErrorMessage="1" xr:uid="{00000000-0002-0000-0200-000006000000}">
          <x14:formula1>
            <xm:f>'DATOS %'!$D$7:$D$9</xm:f>
          </x14:formula1>
          <xm:sqref>S3</xm:sqref>
        </x14:dataValidation>
        <x14:dataValidation type="list" allowBlank="1" showInputMessage="1" showErrorMessage="1" xr:uid="{00000000-0002-0000-0200-000007000000}">
          <x14:formula1>
            <xm:f>'DATOS %'!$B$14:$B$16</xm:f>
          </x14:formula1>
          <xm:sqref>H26</xm:sqref>
        </x14:dataValidation>
        <x14:dataValidation type="list" allowBlank="1" showInputMessage="1" showErrorMessage="1" xr:uid="{00000000-0002-0000-0200-000008000000}">
          <x14:formula1>
            <xm:f>'DATOS %'!$B$158:$B$163</xm:f>
          </x14:formula1>
          <xm:sqref>Q36</xm:sqref>
        </x14:dataValidation>
        <x14:dataValidation type="list" allowBlank="1" showInputMessage="1" showErrorMessage="1" xr:uid="{00000000-0002-0000-0200-000009000000}">
          <x14:formula1>
            <xm:f>'DATOS %'!$P$9:$P$13</xm:f>
          </x14:formula1>
          <xm:sqref>H39</xm:sqref>
        </x14:dataValidation>
        <x14:dataValidation type="list" allowBlank="1" showInputMessage="1" showErrorMessage="1" xr:uid="{00000000-0002-0000-0200-00000A000000}">
          <x14:formula1>
            <xm:f>'DATOS %'!$C$37:$C$42</xm:f>
          </x14:formula1>
          <xm:sqref>S13:S17</xm:sqref>
        </x14:dataValidation>
        <x14:dataValidation type="list" allowBlank="1" showInputMessage="1" showErrorMessage="1" xr:uid="{00000000-0002-0000-0200-00000B000000}">
          <x14:formula1>
            <xm:f>'DATOS %'!$C$43:$C$48</xm:f>
          </x14:formula1>
          <xm:sqref>S8:S12</xm:sqref>
        </x14:dataValidation>
        <x14:dataValidation type="list" allowBlank="1" showInputMessage="1" showErrorMessage="1" xr:uid="{00000000-0002-0000-0200-00000C000000}">
          <x14:formula1>
            <xm:f>'DATOS %'!$A$45:$A$46</xm:f>
          </x14:formula1>
          <xm:sqref>A43</xm:sqref>
        </x14:dataValidation>
        <x14:dataValidation type="list" allowBlank="1" showInputMessage="1" showErrorMessage="1" xr:uid="{00000000-0002-0000-0200-00000D000000}">
          <x14:formula1>
            <xm:f>'DATOS %'!$A$39:$A$40</xm:f>
          </x14:formula1>
          <xm:sqref>O43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030A0"/>
  </sheetPr>
  <dimension ref="A1:Q23"/>
  <sheetViews>
    <sheetView showGridLines="0" view="pageBreakPreview" topLeftCell="A7" zoomScaleNormal="100" zoomScaleSheetLayoutView="100" workbookViewId="0">
      <selection activeCell="D1" sqref="D1:Q1"/>
    </sheetView>
  </sheetViews>
  <sheetFormatPr baseColWidth="10" defaultColWidth="11.42578125" defaultRowHeight="15" x14ac:dyDescent="0.2"/>
  <cols>
    <col min="1" max="1" width="23.5703125" style="1031" customWidth="1"/>
    <col min="2" max="3" width="14.42578125" style="1031" customWidth="1"/>
    <col min="4" max="4" width="17.28515625" style="1031" bestFit="1" customWidth="1"/>
    <col min="5" max="5" width="21.42578125" style="1031" bestFit="1" customWidth="1"/>
    <col min="6" max="6" width="13" style="1031" bestFit="1" customWidth="1"/>
    <col min="7" max="7" width="20.7109375" style="1031" customWidth="1"/>
    <col min="8" max="8" width="19" style="1031" customWidth="1"/>
    <col min="9" max="9" width="22.28515625" style="1031" customWidth="1"/>
    <col min="10" max="10" width="16.5703125" style="1031" bestFit="1" customWidth="1"/>
    <col min="11" max="16384" width="11.42578125" style="1031"/>
  </cols>
  <sheetData>
    <row r="1" spans="1:17" ht="95.25" customHeight="1" x14ac:dyDescent="0.2">
      <c r="A1" s="1847"/>
      <c r="B1" s="1848"/>
      <c r="C1" s="1849"/>
      <c r="D1" s="1850" t="s">
        <v>275</v>
      </c>
      <c r="E1" s="1851"/>
      <c r="F1" s="1851"/>
      <c r="G1" s="1851"/>
      <c r="H1" s="1851"/>
      <c r="I1" s="1851"/>
      <c r="J1" s="1851"/>
      <c r="K1" s="1851"/>
      <c r="L1" s="1851"/>
      <c r="M1" s="1851"/>
      <c r="N1" s="1851"/>
      <c r="O1" s="1851"/>
      <c r="P1" s="1851"/>
      <c r="Q1" s="1852"/>
    </row>
    <row r="2" spans="1:17" ht="13.5" customHeight="1" thickBot="1" x14ac:dyDescent="0.25"/>
    <row r="3" spans="1:17" ht="44.45" customHeight="1" thickBot="1" x14ac:dyDescent="0.25">
      <c r="A3" s="1042" t="s">
        <v>632</v>
      </c>
      <c r="B3" s="1045" t="s">
        <v>594</v>
      </c>
      <c r="C3" s="1044" t="s">
        <v>595</v>
      </c>
      <c r="D3" s="1043" t="s">
        <v>130</v>
      </c>
      <c r="E3" s="1043" t="s">
        <v>575</v>
      </c>
      <c r="F3" s="1044" t="s">
        <v>570</v>
      </c>
      <c r="G3" s="1838" t="s">
        <v>631</v>
      </c>
      <c r="H3" s="1839"/>
      <c r="I3" s="1840"/>
      <c r="K3" s="1032"/>
      <c r="L3" s="1032"/>
    </row>
    <row r="4" spans="1:17" ht="20.100000000000001" customHeight="1" x14ac:dyDescent="0.2">
      <c r="A4" s="1425">
        <v>1</v>
      </c>
      <c r="B4" s="1390">
        <v>9.4635300000000004</v>
      </c>
      <c r="C4" s="1391">
        <v>-9.4635300000000004</v>
      </c>
      <c r="D4" s="1392">
        <v>0</v>
      </c>
      <c r="E4" s="1393"/>
      <c r="F4" s="1393"/>
      <c r="G4" s="1428" t="s">
        <v>571</v>
      </c>
      <c r="H4" s="1429" t="s">
        <v>572</v>
      </c>
      <c r="I4" s="1430" t="s">
        <v>573</v>
      </c>
      <c r="K4" s="1033"/>
      <c r="L4" s="1033"/>
    </row>
    <row r="5" spans="1:17" ht="20.100000000000001" customHeight="1" x14ac:dyDescent="0.2">
      <c r="A5" s="1426" t="s">
        <v>303</v>
      </c>
      <c r="B5" s="1394">
        <v>9.4635300000000004</v>
      </c>
      <c r="C5" s="1395">
        <v>-9.4635300000000004</v>
      </c>
      <c r="D5" s="1396">
        <v>0</v>
      </c>
      <c r="E5" s="1397" t="e">
        <f>ABS('RT03-F11 %'!H122)</f>
        <v>#N/A</v>
      </c>
      <c r="F5" s="1395" t="e">
        <f>'RT03-F38 % '!H101</f>
        <v>#N/A</v>
      </c>
      <c r="G5" s="1398" t="e">
        <f>(B5-E5)/(F5/2)</f>
        <v>#N/A</v>
      </c>
      <c r="H5" s="1399" t="e">
        <f>_xlfn.NORM.S.DIST(G5,1)</f>
        <v>#N/A</v>
      </c>
      <c r="I5" s="1400" t="e">
        <f>1-H5</f>
        <v>#N/A</v>
      </c>
      <c r="K5" s="1033"/>
      <c r="L5" s="1033"/>
    </row>
    <row r="6" spans="1:17" ht="20.100000000000001" customHeight="1" x14ac:dyDescent="0.2">
      <c r="A6" s="1426" t="s">
        <v>321</v>
      </c>
      <c r="B6" s="1394">
        <v>9.4635300000000004</v>
      </c>
      <c r="C6" s="1395">
        <v>-9.4635300000000004</v>
      </c>
      <c r="D6" s="1396">
        <v>0</v>
      </c>
      <c r="E6" s="1397" t="e">
        <f>ABS('Después de ajuste %'!H122)</f>
        <v>#N/A</v>
      </c>
      <c r="F6" s="1395" t="e">
        <f>'RT03-F38 % '!H108</f>
        <v>#N/A</v>
      </c>
      <c r="G6" s="1431" t="s">
        <v>628</v>
      </c>
      <c r="H6" s="1432" t="s">
        <v>572</v>
      </c>
      <c r="I6" s="1433" t="s">
        <v>573</v>
      </c>
      <c r="K6" s="1033"/>
      <c r="L6" s="1033"/>
    </row>
    <row r="7" spans="1:17" ht="20.100000000000001" customHeight="1" x14ac:dyDescent="0.2">
      <c r="A7" s="1426">
        <v>3</v>
      </c>
      <c r="B7" s="1394">
        <v>9.4635300000000004</v>
      </c>
      <c r="C7" s="1395">
        <v>-9.4635300000000004</v>
      </c>
      <c r="D7" s="1396">
        <v>0</v>
      </c>
      <c r="E7" s="1401"/>
      <c r="F7" s="1401"/>
      <c r="G7" s="1398" t="e">
        <f>(E5-C5)/(F5/2)</f>
        <v>#N/A</v>
      </c>
      <c r="H7" s="1399" t="e">
        <f>_xlfn.NORM.S.DIST(G7,1)</f>
        <v>#N/A</v>
      </c>
      <c r="I7" s="1403" t="e">
        <f>1-H7</f>
        <v>#N/A</v>
      </c>
      <c r="K7" s="1033"/>
      <c r="L7" s="1033"/>
    </row>
    <row r="8" spans="1:17" ht="20.100000000000001" customHeight="1" thickBot="1" x14ac:dyDescent="0.25">
      <c r="A8" s="1427">
        <v>4</v>
      </c>
      <c r="B8" s="1404">
        <v>9.4635300000000004</v>
      </c>
      <c r="C8" s="1405">
        <v>-9.4635300000000004</v>
      </c>
      <c r="D8" s="1406">
        <v>0</v>
      </c>
      <c r="E8" s="1407"/>
      <c r="F8" s="1407"/>
      <c r="G8" s="1841" t="e">
        <f>IF(AND(H5&gt;=97.5%,I5&lt;=2.5%),"CUMPLE","NO CUMPLE")</f>
        <v>#N/A</v>
      </c>
      <c r="H8" s="1842"/>
      <c r="I8" s="1843"/>
      <c r="K8" s="1033"/>
      <c r="L8" s="1033"/>
    </row>
    <row r="9" spans="1:17" ht="36" customHeight="1" thickBot="1" x14ac:dyDescent="0.25">
      <c r="A9" s="1408">
        <f>B13/2000</f>
        <v>9.4635300000000004</v>
      </c>
      <c r="B9" s="1409"/>
      <c r="C9" s="1409"/>
      <c r="D9" s="1409"/>
      <c r="E9" s="1409"/>
      <c r="F9" s="1409"/>
      <c r="G9" s="1835" t="s">
        <v>629</v>
      </c>
      <c r="H9" s="1837"/>
      <c r="I9" s="1836"/>
    </row>
    <row r="10" spans="1:17" ht="32.1" customHeight="1" thickBot="1" x14ac:dyDescent="0.25">
      <c r="A10" s="1409"/>
      <c r="B10" s="1833" t="s">
        <v>596</v>
      </c>
      <c r="C10" s="1834"/>
      <c r="D10" s="1410"/>
      <c r="E10" s="1409"/>
      <c r="F10" s="1409"/>
      <c r="G10" s="1411" t="s">
        <v>571</v>
      </c>
      <c r="H10" s="1412" t="s">
        <v>572</v>
      </c>
      <c r="I10" s="1413" t="s">
        <v>573</v>
      </c>
    </row>
    <row r="11" spans="1:17" x14ac:dyDescent="0.2">
      <c r="A11" s="1409"/>
      <c r="B11" s="1414">
        <v>5</v>
      </c>
      <c r="C11" s="1415" t="s">
        <v>9</v>
      </c>
      <c r="D11" s="1410"/>
      <c r="E11" s="1409"/>
      <c r="F11" s="1409"/>
      <c r="G11" s="1416" t="e">
        <f>(B6-E6)/(F6/2)</f>
        <v>#N/A</v>
      </c>
      <c r="H11" s="1417" t="e">
        <f>_xlfn.NORM.S.DIST(G11,1)</f>
        <v>#N/A</v>
      </c>
      <c r="I11" s="1418" t="e">
        <f>1-H11</f>
        <v>#N/A</v>
      </c>
    </row>
    <row r="12" spans="1:17" ht="15.75" x14ac:dyDescent="0.2">
      <c r="A12" s="1409"/>
      <c r="B12" s="1419">
        <f>B11*3.785412</f>
        <v>18.927060000000001</v>
      </c>
      <c r="C12" s="1402" t="s">
        <v>569</v>
      </c>
      <c r="D12" s="1410"/>
      <c r="E12" s="1409"/>
      <c r="F12" s="1409"/>
      <c r="G12" s="1431" t="s">
        <v>628</v>
      </c>
      <c r="H12" s="1432" t="s">
        <v>572</v>
      </c>
      <c r="I12" s="1433" t="s">
        <v>573</v>
      </c>
    </row>
    <row r="13" spans="1:17" ht="15.75" thickBot="1" x14ac:dyDescent="0.25">
      <c r="A13" s="1409"/>
      <c r="B13" s="1420">
        <f>B12*1000</f>
        <v>18927.060000000001</v>
      </c>
      <c r="C13" s="1421" t="s">
        <v>4</v>
      </c>
      <c r="D13" s="1410"/>
      <c r="E13" s="1409"/>
      <c r="F13" s="1409"/>
      <c r="G13" s="1422" t="e">
        <f>(E6-C6)/(F6/2)</f>
        <v>#N/A</v>
      </c>
      <c r="H13" s="1423" t="e">
        <f>_xlfn.NORM.S.DIST(G13,1)</f>
        <v>#N/A</v>
      </c>
      <c r="I13" s="1424" t="e">
        <f>1-H13</f>
        <v>#N/A</v>
      </c>
    </row>
    <row r="14" spans="1:17" ht="15.75" thickBot="1" x14ac:dyDescent="0.25">
      <c r="G14" s="1844" t="e">
        <f>IF(AND(H11&gt;=97.5%,I11&lt;=2.5%),"CUMPLE","NO CUMPLE")</f>
        <v>#N/A</v>
      </c>
      <c r="H14" s="1845"/>
      <c r="I14" s="1846"/>
    </row>
    <row r="15" spans="1:17" ht="32.1" customHeight="1" thickBot="1" x14ac:dyDescent="0.25">
      <c r="B15" s="1835" t="s">
        <v>597</v>
      </c>
      <c r="C15" s="1836"/>
      <c r="D15" s="1034"/>
    </row>
    <row r="16" spans="1:17" x14ac:dyDescent="0.2">
      <c r="B16" s="1041" t="e">
        <f>'RT03-F11 %'!C124</f>
        <v>#N/A</v>
      </c>
      <c r="C16" s="1040" t="s">
        <v>9</v>
      </c>
      <c r="D16" s="1035"/>
    </row>
    <row r="17" spans="2:4" x14ac:dyDescent="0.2">
      <c r="B17" s="1038" t="e">
        <f>B16*3.785412</f>
        <v>#N/A</v>
      </c>
      <c r="C17" s="1036" t="s">
        <v>569</v>
      </c>
      <c r="D17" s="1035"/>
    </row>
    <row r="18" spans="2:4" ht="15.75" thickBot="1" x14ac:dyDescent="0.25">
      <c r="B18" s="1039" t="e">
        <f>'RT03-F11 %'!C122</f>
        <v>#N/A</v>
      </c>
      <c r="C18" s="1037" t="s">
        <v>4</v>
      </c>
      <c r="D18" s="1035"/>
    </row>
    <row r="19" spans="2:4" ht="15.75" thickBot="1" x14ac:dyDescent="0.25"/>
    <row r="20" spans="2:4" ht="32.1" customHeight="1" thickBot="1" x14ac:dyDescent="0.25">
      <c r="B20" s="1835" t="s">
        <v>630</v>
      </c>
      <c r="C20" s="1836"/>
      <c r="D20" s="1034"/>
    </row>
    <row r="21" spans="2:4" x14ac:dyDescent="0.2">
      <c r="B21" s="1041" t="e">
        <f>'Después de ajuste %'!C124</f>
        <v>#N/A</v>
      </c>
      <c r="C21" s="1040" t="s">
        <v>9</v>
      </c>
      <c r="D21" s="1035"/>
    </row>
    <row r="22" spans="2:4" x14ac:dyDescent="0.2">
      <c r="B22" s="1038" t="e">
        <f>B21*3.785412</f>
        <v>#N/A</v>
      </c>
      <c r="C22" s="1036" t="s">
        <v>569</v>
      </c>
      <c r="D22" s="1035"/>
    </row>
    <row r="23" spans="2:4" ht="15.75" thickBot="1" x14ac:dyDescent="0.25">
      <c r="B23" s="1039" t="e">
        <f>'Después de ajuste %'!C122</f>
        <v>#N/A</v>
      </c>
      <c r="C23" s="1037" t="s">
        <v>4</v>
      </c>
      <c r="D23" s="1035"/>
    </row>
  </sheetData>
  <sheetProtection password="CF5C" sheet="1" objects="1" scenarios="1"/>
  <mergeCells count="9">
    <mergeCell ref="A1:C1"/>
    <mergeCell ref="D1:Q1"/>
    <mergeCell ref="B10:C10"/>
    <mergeCell ref="B15:C15"/>
    <mergeCell ref="B20:C20"/>
    <mergeCell ref="G9:I9"/>
    <mergeCell ref="G3:I3"/>
    <mergeCell ref="G8:I8"/>
    <mergeCell ref="G14:I14"/>
  </mergeCells>
  <pageMargins left="0.70866141732283472" right="0.70866141732283472" top="0.74803149606299213" bottom="0.74803149606299213" header="0.31496062992125984" footer="0.31496062992125984"/>
  <pageSetup scale="34" orientation="portrait" r:id="rId1"/>
  <headerFooter>
    <oddFooter>&amp;RRT03-F11 Vr.11 (2021-05-10)</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66CC"/>
  </sheetPr>
  <dimension ref="A1:AC61"/>
  <sheetViews>
    <sheetView showGridLines="0" view="pageBreakPreview" zoomScale="80" zoomScaleNormal="25" zoomScaleSheetLayoutView="80" zoomScalePageLayoutView="10" workbookViewId="0">
      <selection activeCell="D1" sqref="D1:W1"/>
    </sheetView>
  </sheetViews>
  <sheetFormatPr baseColWidth="10" defaultColWidth="15.7109375" defaultRowHeight="15" x14ac:dyDescent="0.2"/>
  <cols>
    <col min="1" max="4" width="15.7109375" style="5"/>
    <col min="5" max="5" width="16.85546875" style="5" customWidth="1"/>
    <col min="6" max="7" width="15.7109375" style="5"/>
    <col min="8" max="8" width="17" style="5" customWidth="1"/>
    <col min="9" max="10" width="15.85546875" style="5" bestFit="1" customWidth="1"/>
    <col min="11" max="11" width="16" style="5" bestFit="1" customWidth="1"/>
    <col min="12" max="16384" width="15.7109375" style="5"/>
  </cols>
  <sheetData>
    <row r="1" spans="1:29" s="21" customFormat="1" ht="75" customHeight="1" thickBot="1" x14ac:dyDescent="0.3">
      <c r="A1" s="1752"/>
      <c r="B1" s="1753"/>
      <c r="C1" s="1754"/>
      <c r="D1" s="1871" t="s">
        <v>275</v>
      </c>
      <c r="E1" s="1872"/>
      <c r="F1" s="1872"/>
      <c r="G1" s="1872"/>
      <c r="H1" s="1872"/>
      <c r="I1" s="1872"/>
      <c r="J1" s="1872"/>
      <c r="K1" s="1872"/>
      <c r="L1" s="1872"/>
      <c r="M1" s="1872"/>
      <c r="N1" s="1872"/>
      <c r="O1" s="1872"/>
      <c r="P1" s="1872"/>
      <c r="Q1" s="1872"/>
      <c r="R1" s="1872"/>
      <c r="S1" s="1872"/>
      <c r="T1" s="1872"/>
      <c r="U1" s="1872"/>
      <c r="V1" s="1872"/>
      <c r="W1" s="1873"/>
    </row>
    <row r="2" spans="1:29" s="24" customFormat="1" ht="5.0999999999999996" customHeight="1" thickBot="1" x14ac:dyDescent="0.3">
      <c r="A2" s="174"/>
      <c r="B2" s="174"/>
      <c r="C2" s="22"/>
      <c r="D2" s="23"/>
      <c r="E2" s="23"/>
      <c r="F2" s="23"/>
      <c r="G2" s="23"/>
      <c r="H2" s="23"/>
      <c r="I2" s="23"/>
      <c r="J2" s="23"/>
      <c r="K2" s="23"/>
      <c r="L2" s="23"/>
      <c r="M2" s="23"/>
      <c r="N2" s="23"/>
      <c r="O2" s="23"/>
      <c r="P2" s="23"/>
      <c r="Q2" s="23"/>
      <c r="R2" s="23"/>
    </row>
    <row r="3" spans="1:29" s="24" customFormat="1" ht="39.950000000000003" customHeight="1" thickBot="1" x14ac:dyDescent="0.3">
      <c r="A3" s="2" t="s">
        <v>44</v>
      </c>
      <c r="B3" s="15" t="e">
        <f>VLOOKUP(S3,'DATOS %'!D7:N19,2,FALSE)</f>
        <v>#N/A</v>
      </c>
      <c r="C3" s="3" t="s">
        <v>165</v>
      </c>
      <c r="D3" s="1859" t="e">
        <f>VLOOKUP(S3,'DATOS %'!D7:N19,3,FALSE)</f>
        <v>#N/A</v>
      </c>
      <c r="E3" s="1859"/>
      <c r="F3" s="4" t="s">
        <v>306</v>
      </c>
      <c r="G3" s="1860" t="e">
        <f>VLOOKUP(S3,'DATOS %'!D7:N19,7,FALSE)</f>
        <v>#N/A</v>
      </c>
      <c r="H3" s="1860"/>
      <c r="I3" s="4" t="s">
        <v>639</v>
      </c>
      <c r="J3" s="1860" t="e">
        <f>VLOOKUP(S3,'DATOS %'!D7:N19,4,FALSE)</f>
        <v>#N/A</v>
      </c>
      <c r="K3" s="1860"/>
      <c r="L3" s="4" t="s">
        <v>640</v>
      </c>
      <c r="M3" s="1874"/>
      <c r="N3" s="1875"/>
      <c r="O3" s="4" t="s">
        <v>167</v>
      </c>
      <c r="P3" s="1860" t="e">
        <f>VLOOKUP(S3,'DATOS %'!D7:N19,11,FALSE)</f>
        <v>#N/A</v>
      </c>
      <c r="Q3" s="1860"/>
      <c r="R3" s="1861"/>
      <c r="S3" s="14"/>
    </row>
    <row r="4" spans="1:29" s="22" customFormat="1" ht="9.9499999999999993" customHeight="1" x14ac:dyDescent="0.25">
      <c r="C4" s="177"/>
    </row>
    <row r="5" spans="1:29" ht="9.9499999999999993" customHeight="1" thickBot="1" x14ac:dyDescent="0.25">
      <c r="A5" s="25"/>
      <c r="H5" s="22"/>
      <c r="J5" s="22"/>
      <c r="P5" s="20"/>
      <c r="Q5" s="20"/>
      <c r="R5" s="20"/>
      <c r="S5" s="20"/>
      <c r="T5" s="20"/>
      <c r="U5" s="20"/>
      <c r="V5" s="20"/>
      <c r="X5" s="20"/>
      <c r="Y5" s="20"/>
      <c r="Z5" s="20"/>
      <c r="AA5" s="20"/>
      <c r="AB5" s="26"/>
      <c r="AC5" s="20"/>
    </row>
    <row r="6" spans="1:29" ht="39.950000000000003" customHeight="1" thickBot="1" x14ac:dyDescent="0.25">
      <c r="A6" s="1868" t="s">
        <v>251</v>
      </c>
      <c r="B6" s="1869"/>
      <c r="C6" s="1869"/>
      <c r="D6" s="1869"/>
      <c r="E6" s="1869"/>
      <c r="F6" s="1869"/>
      <c r="G6" s="1870"/>
      <c r="H6" s="1641" t="s">
        <v>68</v>
      </c>
      <c r="I6" s="1642"/>
      <c r="J6" s="1187"/>
      <c r="K6" s="1186"/>
      <c r="L6" s="1853" t="s">
        <v>638</v>
      </c>
      <c r="M6" s="1854"/>
      <c r="N6" s="1854"/>
      <c r="O6" s="1854"/>
      <c r="P6" s="1855"/>
      <c r="Q6" s="1862" t="s">
        <v>637</v>
      </c>
      <c r="R6" s="1863"/>
      <c r="S6" s="1863"/>
      <c r="T6" s="1863"/>
      <c r="U6" s="1863"/>
      <c r="V6" s="1864"/>
      <c r="W6" s="20"/>
      <c r="X6" s="20"/>
      <c r="Y6" s="20"/>
      <c r="Z6" s="20"/>
      <c r="AA6" s="20"/>
      <c r="AB6" s="26"/>
      <c r="AC6" s="20"/>
    </row>
    <row r="7" spans="1:29" ht="50.25" customHeight="1" thickBot="1" x14ac:dyDescent="0.25">
      <c r="A7" s="10" t="s">
        <v>157</v>
      </c>
      <c r="B7" s="27" t="s">
        <v>247</v>
      </c>
      <c r="C7" s="28" t="s">
        <v>248</v>
      </c>
      <c r="D7" s="16" t="s">
        <v>249</v>
      </c>
      <c r="E7" s="16" t="s">
        <v>511</v>
      </c>
      <c r="F7" s="29" t="s">
        <v>250</v>
      </c>
      <c r="G7" s="30" t="s">
        <v>94</v>
      </c>
      <c r="H7" s="1658" t="s">
        <v>174</v>
      </c>
      <c r="I7" s="1659"/>
      <c r="J7" s="1196" t="e">
        <f>VLOOKUP(K7,'DATOS %'!$P$9:$Q$13,2,FALSE)</f>
        <v>#N/A</v>
      </c>
      <c r="K7" s="1197"/>
      <c r="L7" s="1856"/>
      <c r="M7" s="1857"/>
      <c r="N7" s="1857"/>
      <c r="O7" s="1857"/>
      <c r="P7" s="1858"/>
      <c r="Q7" s="1865"/>
      <c r="R7" s="1866"/>
      <c r="S7" s="1866"/>
      <c r="T7" s="1866"/>
      <c r="U7" s="1866"/>
      <c r="V7" s="1867"/>
      <c r="X7" s="31"/>
      <c r="Y7" s="31"/>
      <c r="Z7" s="31"/>
      <c r="AA7" s="31"/>
      <c r="AB7" s="32"/>
      <c r="AC7" s="31"/>
    </row>
    <row r="8" spans="1:29" ht="39.950000000000003" customHeight="1" thickBot="1" x14ac:dyDescent="0.25">
      <c r="A8" s="33" t="e">
        <f>'RT03-F11 %'!B19:B19</f>
        <v>#N/A</v>
      </c>
      <c r="B8" s="34" t="e">
        <f>'RT03-F11 %'!Q20</f>
        <v>#N/A</v>
      </c>
      <c r="C8" s="35" t="e">
        <f>'RT03-F11 %'!C19</f>
        <v>#N/A</v>
      </c>
      <c r="D8" s="36" t="e">
        <f>'RT03-F11 %'!E19</f>
        <v>#N/A</v>
      </c>
      <c r="E8" s="164" t="e">
        <f>'RT03-F11 %'!G19</f>
        <v>#N/A</v>
      </c>
      <c r="F8" s="37" t="e">
        <f>'RT03-F11 %'!I19</f>
        <v>#N/A</v>
      </c>
      <c r="G8" s="38" t="e">
        <f>'RT03-F11 %'!O19</f>
        <v>#N/A</v>
      </c>
      <c r="H8" s="1643" t="s">
        <v>69</v>
      </c>
      <c r="I8" s="1644"/>
      <c r="J8" s="1187"/>
      <c r="K8" s="1186"/>
      <c r="L8" s="39"/>
      <c r="M8" s="40"/>
      <c r="N8" s="40"/>
      <c r="O8" s="40"/>
      <c r="P8" s="40"/>
      <c r="Q8" s="1914" t="s">
        <v>383</v>
      </c>
      <c r="R8" s="1883" t="s">
        <v>243</v>
      </c>
      <c r="S8" s="1883" t="s">
        <v>384</v>
      </c>
      <c r="T8" s="1883" t="s">
        <v>385</v>
      </c>
      <c r="U8" s="1883" t="s">
        <v>244</v>
      </c>
      <c r="V8" s="1886" t="s">
        <v>245</v>
      </c>
      <c r="W8" s="20"/>
      <c r="X8" s="20"/>
      <c r="Y8" s="20"/>
      <c r="Z8" s="20"/>
      <c r="AA8" s="20"/>
      <c r="AB8" s="26"/>
      <c r="AC8" s="20"/>
    </row>
    <row r="9" spans="1:29" ht="39.950000000000003" customHeight="1" thickBot="1" x14ac:dyDescent="0.25">
      <c r="A9" s="25"/>
      <c r="D9" s="25"/>
      <c r="E9" s="163"/>
      <c r="F9" s="25"/>
      <c r="L9" s="41"/>
      <c r="M9" s="42"/>
      <c r="N9" s="42"/>
      <c r="O9" s="42"/>
      <c r="P9" s="6"/>
      <c r="Q9" s="1915"/>
      <c r="R9" s="1884"/>
      <c r="S9" s="1884"/>
      <c r="T9" s="1884"/>
      <c r="U9" s="1884"/>
      <c r="V9" s="1887"/>
      <c r="AC9" s="20"/>
    </row>
    <row r="10" spans="1:29" ht="39.950000000000003" customHeight="1" thickBot="1" x14ac:dyDescent="0.25">
      <c r="A10" s="25"/>
      <c r="B10" s="1891" t="s">
        <v>220</v>
      </c>
      <c r="C10" s="1892"/>
      <c r="D10" s="1892"/>
      <c r="E10" s="1893"/>
      <c r="F10" s="42"/>
      <c r="H10" s="1891" t="s">
        <v>246</v>
      </c>
      <c r="I10" s="1893"/>
      <c r="L10" s="41"/>
      <c r="M10" s="42"/>
      <c r="N10" s="42"/>
      <c r="O10" s="42"/>
      <c r="P10" s="42"/>
      <c r="Q10" s="1915"/>
      <c r="R10" s="1884"/>
      <c r="S10" s="1885"/>
      <c r="T10" s="1885"/>
      <c r="U10" s="1885"/>
      <c r="V10" s="1888"/>
      <c r="AC10" s="20"/>
    </row>
    <row r="11" spans="1:29" ht="39.950000000000003" customHeight="1" thickBot="1" x14ac:dyDescent="0.4">
      <c r="A11" s="25"/>
      <c r="B11" s="1919" t="s">
        <v>214</v>
      </c>
      <c r="C11" s="1920"/>
      <c r="D11" s="1921" t="s">
        <v>124</v>
      </c>
      <c r="E11" s="1922"/>
      <c r="F11" s="25"/>
      <c r="H11" s="43" t="s">
        <v>212</v>
      </c>
      <c r="I11" s="44" t="s">
        <v>4</v>
      </c>
      <c r="L11" s="45" t="s">
        <v>149</v>
      </c>
      <c r="M11" s="42"/>
      <c r="N11" s="42"/>
      <c r="O11" s="46" t="s">
        <v>125</v>
      </c>
      <c r="P11" s="42"/>
      <c r="Q11" s="1923" t="e">
        <f>B8</f>
        <v>#N/A</v>
      </c>
      <c r="R11" s="1912" t="e">
        <f>C8</f>
        <v>#N/A</v>
      </c>
      <c r="S11" s="125"/>
      <c r="T11" s="47" t="e">
        <f>M19</f>
        <v>#N/A</v>
      </c>
      <c r="U11" s="47" t="e">
        <f>($R$11-T11)</f>
        <v>#N/A</v>
      </c>
      <c r="V11" s="48" t="e">
        <f>U11/$D$12</f>
        <v>#N/A</v>
      </c>
      <c r="AC11" s="31"/>
    </row>
    <row r="12" spans="1:29" ht="39.950000000000003" customHeight="1" thickBot="1" x14ac:dyDescent="0.3">
      <c r="A12" s="25"/>
      <c r="B12" s="49" t="e">
        <f>VLOOKUP(F12,'DATOS %'!$AC$113:$AF$118,2,FALSE)</f>
        <v>#N/A</v>
      </c>
      <c r="C12" s="50"/>
      <c r="D12" s="51" t="e">
        <f>VLOOKUP(F12,'DATOS %'!$AC$113:$AE$117,3,FALSE)</f>
        <v>#N/A</v>
      </c>
      <c r="E12" s="52"/>
      <c r="F12" s="129"/>
      <c r="H12" s="53" t="s">
        <v>215</v>
      </c>
      <c r="I12" s="54">
        <f>I13/2</f>
        <v>8.1935300000000009</v>
      </c>
      <c r="L12" s="45" t="s">
        <v>126</v>
      </c>
      <c r="M12" s="46"/>
      <c r="N12" s="46" t="s">
        <v>125</v>
      </c>
      <c r="O12" s="46"/>
      <c r="P12" s="42"/>
      <c r="Q12" s="1923"/>
      <c r="R12" s="1912"/>
      <c r="S12" s="125"/>
      <c r="T12" s="47" t="e">
        <f>M20</f>
        <v>#N/A</v>
      </c>
      <c r="U12" s="47" t="e">
        <f>($R$11-T12)</f>
        <v>#N/A</v>
      </c>
      <c r="V12" s="48" t="e">
        <f>U12/$D$12</f>
        <v>#N/A</v>
      </c>
      <c r="AC12" s="32"/>
    </row>
    <row r="13" spans="1:29" ht="39.950000000000003" customHeight="1" thickBot="1" x14ac:dyDescent="0.4">
      <c r="A13" s="25"/>
      <c r="F13" s="42"/>
      <c r="H13" s="53" t="s">
        <v>216</v>
      </c>
      <c r="I13" s="54">
        <v>16.387060000000002</v>
      </c>
      <c r="L13" s="55" t="s">
        <v>150</v>
      </c>
      <c r="M13" s="56" t="s">
        <v>125</v>
      </c>
      <c r="N13" s="57"/>
      <c r="O13" s="57"/>
      <c r="P13" s="58" t="s">
        <v>127</v>
      </c>
      <c r="Q13" s="1924"/>
      <c r="R13" s="1913"/>
      <c r="S13" s="126"/>
      <c r="T13" s="59" t="e">
        <f>M21</f>
        <v>#N/A</v>
      </c>
      <c r="U13" s="59" t="e">
        <f>($R$11-T13)</f>
        <v>#N/A</v>
      </c>
      <c r="V13" s="60" t="e">
        <f>U13/$D$12</f>
        <v>#N/A</v>
      </c>
      <c r="AC13" s="32"/>
    </row>
    <row r="14" spans="1:29" s="42" customFormat="1" ht="39.950000000000003" customHeight="1" thickBot="1" x14ac:dyDescent="0.4">
      <c r="L14" s="7"/>
      <c r="M14" s="61" t="s">
        <v>208</v>
      </c>
      <c r="N14" s="61" t="s">
        <v>127</v>
      </c>
      <c r="O14" s="61" t="s">
        <v>209</v>
      </c>
      <c r="P14" s="8"/>
      <c r="T14" s="62" t="s">
        <v>219</v>
      </c>
      <c r="U14" s="63" t="e">
        <f>AVERAGE(U11:U13)</f>
        <v>#N/A</v>
      </c>
      <c r="V14" s="64" t="e">
        <f>AVERAGE(V11:V13)</f>
        <v>#N/A</v>
      </c>
      <c r="AC14" s="20"/>
    </row>
    <row r="15" spans="1:29" ht="39.950000000000003" customHeight="1" thickBot="1" x14ac:dyDescent="0.25">
      <c r="A15" s="25"/>
      <c r="D15" s="25"/>
      <c r="E15" s="25"/>
      <c r="F15" s="25"/>
      <c r="R15" s="25"/>
      <c r="S15" s="25"/>
      <c r="T15" s="65"/>
      <c r="U15" s="59" t="e">
        <f>STDEVA(U11:U13)</f>
        <v>#N/A</v>
      </c>
      <c r="V15" s="66" t="e">
        <f>_xlfn.STDEV.S(V11:V13)</f>
        <v>#N/A</v>
      </c>
      <c r="AC15" s="67"/>
    </row>
    <row r="16" spans="1:29" ht="39.950000000000003" customHeight="1" thickBot="1" x14ac:dyDescent="0.25">
      <c r="A16" s="25"/>
      <c r="T16" s="68"/>
      <c r="U16" s="59" t="e">
        <f>U15/SQRT(3)</f>
        <v>#N/A</v>
      </c>
      <c r="V16" s="69" t="e">
        <f>V15/SQRT(3)</f>
        <v>#N/A</v>
      </c>
      <c r="AC16" s="70"/>
    </row>
    <row r="17" spans="1:29" ht="39.950000000000003" customHeight="1" thickBot="1" x14ac:dyDescent="0.25">
      <c r="A17" s="25"/>
      <c r="B17" s="1900" t="s">
        <v>327</v>
      </c>
      <c r="C17" s="1901"/>
      <c r="D17" s="1901"/>
      <c r="E17" s="1901"/>
      <c r="F17" s="1902"/>
      <c r="G17" s="1903" t="s">
        <v>388</v>
      </c>
      <c r="H17" s="1904"/>
      <c r="I17" s="1904"/>
      <c r="J17" s="1904"/>
      <c r="K17" s="1905"/>
      <c r="T17" s="25"/>
      <c r="U17" s="25"/>
      <c r="V17" s="25"/>
      <c r="AC17" s="71"/>
    </row>
    <row r="18" spans="1:29" ht="39.950000000000003" customHeight="1" thickBot="1" x14ac:dyDescent="0.25">
      <c r="A18" s="25"/>
      <c r="B18" s="72" t="s">
        <v>60</v>
      </c>
      <c r="C18" s="73" t="s">
        <v>134</v>
      </c>
      <c r="D18" s="73" t="s">
        <v>135</v>
      </c>
      <c r="E18" s="73" t="s">
        <v>136</v>
      </c>
      <c r="F18" s="136" t="s">
        <v>137</v>
      </c>
      <c r="G18" s="172" t="s">
        <v>54</v>
      </c>
      <c r="H18" s="95" t="s">
        <v>40</v>
      </c>
      <c r="I18" s="95" t="s">
        <v>41</v>
      </c>
      <c r="J18" s="95" t="s">
        <v>210</v>
      </c>
      <c r="K18" s="156" t="s">
        <v>61</v>
      </c>
      <c r="L18" s="175" t="s">
        <v>242</v>
      </c>
      <c r="M18" s="95" t="s">
        <v>128</v>
      </c>
      <c r="N18" s="157" t="s">
        <v>129</v>
      </c>
      <c r="O18" s="74" t="e">
        <f>(O21-O20)/(N21-N20)</f>
        <v>#N/A</v>
      </c>
      <c r="P18" s="42"/>
      <c r="Q18" s="75"/>
      <c r="R18" s="57"/>
      <c r="U18" s="158"/>
      <c r="V18" s="159" t="e">
        <f>AVERAGE(S11:S13)</f>
        <v>#DIV/0!</v>
      </c>
      <c r="AC18" s="71"/>
    </row>
    <row r="19" spans="1:29" s="42" customFormat="1" ht="49.5" customHeight="1" x14ac:dyDescent="0.2">
      <c r="B19" s="76" t="s">
        <v>386</v>
      </c>
      <c r="C19" s="127"/>
      <c r="D19" s="127"/>
      <c r="E19" s="127"/>
      <c r="F19" s="137" t="e">
        <f>AVERAGE(C19:E19)</f>
        <v>#DIV/0!</v>
      </c>
      <c r="G19" s="153" t="s">
        <v>67</v>
      </c>
      <c r="H19" s="167">
        <v>3.7854100000000002</v>
      </c>
      <c r="I19" s="167">
        <f>(H19/H21)*1000</f>
        <v>3785.4100000000003</v>
      </c>
      <c r="J19" s="167">
        <f>(I19*I22)/I20</f>
        <v>230.99994751956731</v>
      </c>
      <c r="K19" s="168">
        <v>5</v>
      </c>
      <c r="L19" s="154">
        <f>S11</f>
        <v>0</v>
      </c>
      <c r="M19" s="155" t="e">
        <f>($O$21+$O$18*(L19-$N$21))</f>
        <v>#N/A</v>
      </c>
      <c r="N19" s="166" t="s">
        <v>130</v>
      </c>
      <c r="O19" s="166" t="s">
        <v>131</v>
      </c>
      <c r="P19" s="147" t="s">
        <v>132</v>
      </c>
      <c r="Q19" s="1894" t="s">
        <v>133</v>
      </c>
      <c r="R19" s="1894"/>
      <c r="S19" s="1895"/>
      <c r="U19" s="160"/>
      <c r="V19" s="161">
        <f>(I13/10)/SQRT(3)</f>
        <v>0.94610735022265502</v>
      </c>
    </row>
    <row r="20" spans="1:29" s="42" customFormat="1" ht="39.950000000000003" customHeight="1" thickBot="1" x14ac:dyDescent="0.25">
      <c r="B20" s="53" t="s">
        <v>138</v>
      </c>
      <c r="C20" s="144"/>
      <c r="D20" s="128"/>
      <c r="E20" s="128"/>
      <c r="F20" s="138" t="e">
        <f>AVERAGE(C20:E20)</f>
        <v>#DIV/0!</v>
      </c>
      <c r="G20" s="77" t="s">
        <v>210</v>
      </c>
      <c r="H20" s="135">
        <v>1.6387059999999998E-2</v>
      </c>
      <c r="I20" s="135">
        <f>(H20/H21)*I21</f>
        <v>16.387059999999998</v>
      </c>
      <c r="J20" s="135">
        <v>1</v>
      </c>
      <c r="K20" s="169">
        <f>J19*K19</f>
        <v>1154.9997375978367</v>
      </c>
      <c r="L20" s="148">
        <f>S12</f>
        <v>0</v>
      </c>
      <c r="M20" s="47" t="e">
        <f>($O$21+$O$18*(L20-$N$21))</f>
        <v>#N/A</v>
      </c>
      <c r="N20" s="146" t="e">
        <f>'RT03-F11 %'!Q19</f>
        <v>#N/A</v>
      </c>
      <c r="O20" s="146" t="e">
        <f>'RT03-F11 %'!R19</f>
        <v>#N/A</v>
      </c>
      <c r="P20" s="149" t="e">
        <f>(O20-N20)</f>
        <v>#N/A</v>
      </c>
      <c r="Q20" s="1896"/>
      <c r="R20" s="1896"/>
      <c r="S20" s="1897"/>
      <c r="U20" s="162"/>
      <c r="V20" s="69">
        <f>(I13/10)/SQRT(3)</f>
        <v>0.94610735022265502</v>
      </c>
    </row>
    <row r="21" spans="1:29" s="42" customFormat="1" ht="49.5" customHeight="1" thickBot="1" x14ac:dyDescent="0.25">
      <c r="B21" s="79" t="s">
        <v>387</v>
      </c>
      <c r="C21" s="80" t="e">
        <f>F19-F20</f>
        <v>#DIV/0!</v>
      </c>
      <c r="D21" s="81"/>
      <c r="E21" s="82"/>
      <c r="F21" s="82"/>
      <c r="G21" s="77" t="s">
        <v>139</v>
      </c>
      <c r="H21" s="135">
        <v>1</v>
      </c>
      <c r="I21" s="135">
        <v>1000</v>
      </c>
      <c r="J21" s="135">
        <f>H20</f>
        <v>1.6387059999999998E-2</v>
      </c>
      <c r="K21" s="169">
        <f>K19*H19</f>
        <v>18.927050000000001</v>
      </c>
      <c r="L21" s="150">
        <f>S13</f>
        <v>0</v>
      </c>
      <c r="M21" s="59" t="e">
        <f>($O$21+$O$18*(L21-$N$21))</f>
        <v>#N/A</v>
      </c>
      <c r="N21" s="151" t="e">
        <f>'RT03-F11 %'!Q20</f>
        <v>#N/A</v>
      </c>
      <c r="O21" s="151" t="e">
        <f>'RT03-F11 %'!R20</f>
        <v>#N/A</v>
      </c>
      <c r="P21" s="152" t="e">
        <f>(O21-N21)</f>
        <v>#N/A</v>
      </c>
      <c r="Q21" s="1898" t="e">
        <f>ABS(P21-P20)/12^0.5</f>
        <v>#N/A</v>
      </c>
      <c r="R21" s="1898"/>
      <c r="S21" s="1899"/>
    </row>
    <row r="22" spans="1:29" s="42" customFormat="1" ht="39.950000000000003" customHeight="1" thickBot="1" x14ac:dyDescent="0.25">
      <c r="B22" s="83" t="s">
        <v>211</v>
      </c>
      <c r="C22" s="84" t="e">
        <f>I13*((F19-F20)/((SQRT(12)*F19)))</f>
        <v>#DIV/0!</v>
      </c>
      <c r="D22" s="85"/>
      <c r="E22" s="86"/>
      <c r="F22" s="86"/>
      <c r="G22" s="78" t="s">
        <v>140</v>
      </c>
      <c r="H22" s="170">
        <v>1E-3</v>
      </c>
      <c r="I22" s="170">
        <v>1</v>
      </c>
      <c r="J22" s="170">
        <f>I20</f>
        <v>16.387059999999998</v>
      </c>
      <c r="K22" s="171">
        <f>K19*I19</f>
        <v>18927.050000000003</v>
      </c>
    </row>
    <row r="23" spans="1:29" s="42" customFormat="1" ht="39.950000000000003" customHeight="1" thickBot="1" x14ac:dyDescent="0.25">
      <c r="B23" s="87"/>
      <c r="D23" s="23"/>
      <c r="E23" s="23"/>
      <c r="F23" s="88"/>
    </row>
    <row r="24" spans="1:29" s="42" customFormat="1" ht="39.950000000000003" customHeight="1" thickBot="1" x14ac:dyDescent="0.25">
      <c r="B24" s="1891" t="s">
        <v>86</v>
      </c>
      <c r="C24" s="1892"/>
      <c r="D24" s="1892"/>
      <c r="E24" s="1892"/>
      <c r="F24" s="1892"/>
      <c r="G24" s="1892"/>
      <c r="H24" s="1892"/>
      <c r="I24" s="1892"/>
      <c r="J24" s="1892"/>
      <c r="K24" s="1892"/>
      <c r="L24" s="1893"/>
    </row>
    <row r="25" spans="1:29" s="21" customFormat="1" ht="39.950000000000003" customHeight="1" thickBot="1" x14ac:dyDescent="0.3">
      <c r="A25" s="24"/>
      <c r="B25" s="219"/>
      <c r="C25" s="220"/>
      <c r="D25" s="220"/>
      <c r="E25" s="220"/>
      <c r="F25" s="220"/>
      <c r="G25" s="220"/>
      <c r="H25" s="220"/>
      <c r="I25" s="220"/>
      <c r="J25" s="220"/>
      <c r="K25" s="221" t="s">
        <v>87</v>
      </c>
      <c r="L25" s="222" t="s">
        <v>54</v>
      </c>
    </row>
    <row r="26" spans="1:29" s="22" customFormat="1" ht="39.950000000000003" customHeight="1" thickBot="1" x14ac:dyDescent="0.3">
      <c r="B26" s="230" t="s">
        <v>141</v>
      </c>
      <c r="C26" s="231"/>
      <c r="D26" s="231"/>
      <c r="E26" s="231"/>
      <c r="F26" s="231"/>
      <c r="G26" s="232"/>
      <c r="H26" s="232"/>
      <c r="I26" s="232"/>
      <c r="J26" s="233"/>
      <c r="K26" s="228" t="e">
        <f>1/(D12)</f>
        <v>#N/A</v>
      </c>
      <c r="L26" s="229" t="s">
        <v>4</v>
      </c>
    </row>
    <row r="27" spans="1:29" s="21" customFormat="1" ht="5.0999999999999996" customHeight="1" thickBot="1" x14ac:dyDescent="0.3">
      <c r="A27" s="22"/>
      <c r="B27" s="92"/>
      <c r="C27" s="93"/>
      <c r="D27" s="93"/>
      <c r="E27" s="93"/>
      <c r="F27" s="93"/>
      <c r="G27" s="22"/>
      <c r="H27" s="22"/>
      <c r="I27" s="22"/>
      <c r="J27" s="22"/>
      <c r="K27" s="223"/>
      <c r="L27" s="226"/>
    </row>
    <row r="28" spans="1:29" s="22" customFormat="1" ht="39.950000000000003" customHeight="1" thickBot="1" x14ac:dyDescent="0.3">
      <c r="B28" s="230" t="s">
        <v>142</v>
      </c>
      <c r="C28" s="231"/>
      <c r="D28" s="231"/>
      <c r="E28" s="231"/>
      <c r="F28" s="231"/>
      <c r="G28" s="232"/>
      <c r="H28" s="232"/>
      <c r="I28" s="232"/>
      <c r="J28" s="233"/>
      <c r="K28" s="228" t="e">
        <f>-1/(D12)</f>
        <v>#N/A</v>
      </c>
      <c r="L28" s="229" t="s">
        <v>4</v>
      </c>
    </row>
    <row r="29" spans="1:29" s="21" customFormat="1" ht="5.0999999999999996" customHeight="1" thickBot="1" x14ac:dyDescent="0.3">
      <c r="A29" s="22"/>
      <c r="B29" s="92"/>
      <c r="C29" s="93"/>
      <c r="D29" s="93"/>
      <c r="E29" s="93"/>
      <c r="F29" s="93"/>
      <c r="G29" s="22"/>
      <c r="H29" s="22"/>
      <c r="I29" s="22"/>
      <c r="J29" s="22"/>
      <c r="K29" s="223"/>
      <c r="L29" s="227"/>
    </row>
    <row r="30" spans="1:29" s="22" customFormat="1" ht="39.950000000000003" customHeight="1" thickBot="1" x14ac:dyDescent="0.3">
      <c r="B30" s="230" t="s">
        <v>142</v>
      </c>
      <c r="C30" s="231"/>
      <c r="D30" s="231"/>
      <c r="E30" s="231"/>
      <c r="F30" s="231"/>
      <c r="G30" s="232"/>
      <c r="H30" s="232"/>
      <c r="I30" s="232"/>
      <c r="J30" s="233"/>
      <c r="K30" s="228" t="e">
        <f>1/(D12)</f>
        <v>#N/A</v>
      </c>
      <c r="L30" s="229" t="s">
        <v>4</v>
      </c>
    </row>
    <row r="31" spans="1:29" s="21" customFormat="1" ht="5.0999999999999996" customHeight="1" thickBot="1" x14ac:dyDescent="0.3">
      <c r="A31" s="22"/>
      <c r="B31" s="94"/>
      <c r="C31" s="93"/>
      <c r="D31" s="93"/>
      <c r="E31" s="93"/>
      <c r="F31" s="93"/>
      <c r="G31" s="22"/>
      <c r="H31" s="22"/>
      <c r="I31" s="22"/>
      <c r="J31" s="22"/>
      <c r="K31" s="224"/>
      <c r="L31" s="227"/>
      <c r="M31" s="174"/>
      <c r="N31" s="22"/>
      <c r="O31" s="22"/>
      <c r="P31" s="22"/>
      <c r="Q31" s="22"/>
      <c r="R31" s="24"/>
    </row>
    <row r="32" spans="1:29" s="22" customFormat="1" ht="39.950000000000003" customHeight="1" thickBot="1" x14ac:dyDescent="0.3">
      <c r="B32" s="230" t="s">
        <v>142</v>
      </c>
      <c r="C32" s="231"/>
      <c r="D32" s="231"/>
      <c r="E32" s="231"/>
      <c r="F32" s="231"/>
      <c r="G32" s="232"/>
      <c r="H32" s="232"/>
      <c r="I32" s="232"/>
      <c r="J32" s="233"/>
      <c r="K32" s="228" t="e">
        <f>K30</f>
        <v>#N/A</v>
      </c>
      <c r="L32" s="229" t="s">
        <v>4</v>
      </c>
    </row>
    <row r="33" spans="1:18" s="21" customFormat="1" ht="5.0999999999999996" customHeight="1" thickBot="1" x14ac:dyDescent="0.3">
      <c r="A33" s="22"/>
      <c r="B33" s="92"/>
      <c r="C33" s="93"/>
      <c r="D33" s="93"/>
      <c r="E33" s="93"/>
      <c r="F33" s="93"/>
      <c r="G33" s="22"/>
      <c r="H33" s="22"/>
      <c r="I33" s="22"/>
      <c r="J33" s="22"/>
      <c r="K33" s="224"/>
      <c r="L33" s="227"/>
      <c r="M33" s="174"/>
      <c r="N33" s="22"/>
      <c r="O33" s="22"/>
      <c r="P33" s="22"/>
      <c r="Q33" s="22"/>
      <c r="R33" s="24"/>
    </row>
    <row r="34" spans="1:18" s="22" customFormat="1" ht="39.950000000000003" customHeight="1" thickBot="1" x14ac:dyDescent="0.3">
      <c r="B34" s="230" t="s">
        <v>142</v>
      </c>
      <c r="C34" s="231"/>
      <c r="D34" s="231"/>
      <c r="E34" s="231"/>
      <c r="F34" s="231"/>
      <c r="G34" s="232"/>
      <c r="H34" s="232"/>
      <c r="I34" s="232"/>
      <c r="J34" s="233"/>
      <c r="K34" s="228">
        <v>1</v>
      </c>
      <c r="L34" s="229" t="s">
        <v>4</v>
      </c>
    </row>
    <row r="35" spans="1:18" s="21" customFormat="1" ht="5.0999999999999996" customHeight="1" thickBot="1" x14ac:dyDescent="0.3">
      <c r="A35" s="22"/>
      <c r="B35" s="89"/>
      <c r="C35" s="22"/>
      <c r="D35" s="22"/>
      <c r="E35" s="22"/>
      <c r="F35" s="22"/>
      <c r="G35" s="22"/>
      <c r="H35" s="22"/>
      <c r="I35" s="22"/>
      <c r="J35" s="22"/>
      <c r="K35" s="225"/>
      <c r="L35" s="204"/>
      <c r="M35" s="174"/>
      <c r="N35" s="22"/>
      <c r="O35" s="22"/>
      <c r="P35" s="22"/>
      <c r="Q35" s="22"/>
      <c r="R35" s="24"/>
    </row>
    <row r="36" spans="1:18" s="22" customFormat="1" ht="39.950000000000003" customHeight="1" thickBot="1" x14ac:dyDescent="0.3">
      <c r="B36" s="230" t="s">
        <v>142</v>
      </c>
      <c r="C36" s="231"/>
      <c r="D36" s="231"/>
      <c r="E36" s="231"/>
      <c r="F36" s="231"/>
      <c r="G36" s="232"/>
      <c r="H36" s="232"/>
      <c r="I36" s="232"/>
      <c r="J36" s="233"/>
      <c r="K36" s="228">
        <v>1</v>
      </c>
      <c r="L36" s="229" t="s">
        <v>4</v>
      </c>
    </row>
    <row r="37" spans="1:18" s="24" customFormat="1" ht="39.950000000000003" customHeight="1" x14ac:dyDescent="0.25">
      <c r="A37" s="22"/>
      <c r="M37" s="174"/>
    </row>
    <row r="38" spans="1:18" s="22" customFormat="1" ht="39.950000000000003" customHeight="1" thickBot="1" x14ac:dyDescent="0.3">
      <c r="R38" s="90"/>
    </row>
    <row r="39" spans="1:18" s="21" customFormat="1" ht="39.950000000000003" customHeight="1" thickBot="1" x14ac:dyDescent="0.3">
      <c r="B39" s="1891" t="s">
        <v>91</v>
      </c>
      <c r="C39" s="1892"/>
      <c r="D39" s="1892"/>
      <c r="E39" s="1892"/>
      <c r="F39" s="1892"/>
      <c r="G39" s="1892"/>
      <c r="H39" s="1892"/>
      <c r="I39" s="1892"/>
      <c r="J39" s="1892"/>
      <c r="K39" s="1892"/>
      <c r="L39" s="1892"/>
      <c r="M39" s="1892"/>
      <c r="N39" s="1892"/>
      <c r="O39" s="1892"/>
      <c r="P39" s="1892"/>
      <c r="Q39" s="1893"/>
    </row>
    <row r="40" spans="1:18" s="21" customFormat="1" ht="48" customHeight="1" thickBot="1" x14ac:dyDescent="0.3">
      <c r="A40" s="24"/>
      <c r="B40" s="1643" t="s">
        <v>221</v>
      </c>
      <c r="C40" s="1775"/>
      <c r="D40" s="95" t="s">
        <v>222</v>
      </c>
      <c r="E40" s="95" t="s">
        <v>223</v>
      </c>
      <c r="F40" s="95" t="s">
        <v>54</v>
      </c>
      <c r="G40" s="95" t="s">
        <v>94</v>
      </c>
      <c r="H40" s="95" t="s">
        <v>371</v>
      </c>
      <c r="I40" s="95"/>
      <c r="J40" s="95" t="s">
        <v>372</v>
      </c>
      <c r="K40" s="95"/>
      <c r="L40" s="173" t="s">
        <v>224</v>
      </c>
      <c r="M40" s="95" t="s">
        <v>54</v>
      </c>
      <c r="N40" s="173" t="s">
        <v>143</v>
      </c>
      <c r="O40" s="95" t="s">
        <v>98</v>
      </c>
      <c r="P40" s="95" t="s">
        <v>225</v>
      </c>
      <c r="Q40" s="96" t="s">
        <v>373</v>
      </c>
    </row>
    <row r="41" spans="1:18" s="22" customFormat="1" ht="39.950000000000003" customHeight="1" thickBot="1" x14ac:dyDescent="0.3">
      <c r="B41" s="97"/>
      <c r="C41" s="23"/>
      <c r="D41" s="23"/>
      <c r="E41" s="23"/>
      <c r="F41" s="23"/>
      <c r="G41" s="23"/>
      <c r="H41" s="23"/>
      <c r="I41" s="23"/>
      <c r="J41" s="23"/>
      <c r="K41" s="23"/>
      <c r="L41" s="23"/>
      <c r="M41" s="23"/>
      <c r="N41" s="23"/>
      <c r="O41" s="23"/>
      <c r="P41" s="23"/>
      <c r="Q41" s="91"/>
    </row>
    <row r="42" spans="1:18" s="21" customFormat="1" ht="39.950000000000003" customHeight="1" thickBot="1" x14ac:dyDescent="0.3">
      <c r="A42" s="1876"/>
      <c r="B42" s="1776" t="s">
        <v>374</v>
      </c>
      <c r="C42" s="1777"/>
      <c r="D42" s="245" t="e">
        <f>U14</f>
        <v>#N/A</v>
      </c>
      <c r="E42" s="98"/>
      <c r="F42" s="234" t="s">
        <v>4</v>
      </c>
      <c r="G42" s="219"/>
      <c r="H42" s="220"/>
      <c r="I42" s="220"/>
      <c r="J42" s="220"/>
      <c r="K42" s="220"/>
      <c r="L42" s="220"/>
      <c r="M42" s="220"/>
      <c r="N42" s="220"/>
      <c r="O42" s="220"/>
      <c r="P42" s="220"/>
      <c r="Q42" s="19"/>
      <c r="R42" s="24"/>
    </row>
    <row r="43" spans="1:18" s="21" customFormat="1" ht="39.950000000000003" customHeight="1" x14ac:dyDescent="0.25">
      <c r="A43" s="1876"/>
      <c r="B43" s="1881" t="s">
        <v>375</v>
      </c>
      <c r="C43" s="1882"/>
      <c r="D43" s="246" t="e">
        <f>R11</f>
        <v>#N/A</v>
      </c>
      <c r="E43" s="101" t="e">
        <f>F8</f>
        <v>#N/A</v>
      </c>
      <c r="F43" s="99" t="s">
        <v>4</v>
      </c>
      <c r="G43" s="235" t="e">
        <f>G8</f>
        <v>#N/A</v>
      </c>
      <c r="H43" s="236" t="e">
        <f>E43/G43</f>
        <v>#N/A</v>
      </c>
      <c r="I43" s="120" t="str">
        <f>F42</f>
        <v>mL</v>
      </c>
      <c r="J43" s="237">
        <v>0.05</v>
      </c>
      <c r="K43" s="120" t="s">
        <v>4</v>
      </c>
      <c r="L43" s="236" t="e">
        <f>J43*H43</f>
        <v>#N/A</v>
      </c>
      <c r="M43" s="120" t="s">
        <v>4</v>
      </c>
      <c r="N43" s="248" t="e">
        <f>L43^2</f>
        <v>#N/A</v>
      </c>
      <c r="O43" s="238" t="s">
        <v>17</v>
      </c>
      <c r="P43" s="238" t="s">
        <v>103</v>
      </c>
      <c r="Q43" s="239">
        <v>50</v>
      </c>
      <c r="R43" s="24"/>
    </row>
    <row r="44" spans="1:18" s="21" customFormat="1" ht="39.950000000000003" customHeight="1" x14ac:dyDescent="0.25">
      <c r="A44" s="1876"/>
      <c r="B44" s="1879" t="s">
        <v>376</v>
      </c>
      <c r="C44" s="1880"/>
      <c r="D44" s="247" t="e">
        <f>V18</f>
        <v>#DIV/0!</v>
      </c>
      <c r="E44" s="101" t="e">
        <f>D8</f>
        <v>#N/A</v>
      </c>
      <c r="F44" s="99" t="s">
        <v>4</v>
      </c>
      <c r="G44" s="100">
        <f>SQRT(3)</f>
        <v>1.7320508075688772</v>
      </c>
      <c r="H44" s="105" t="e">
        <f>SQRT((H43)^2+(Q21)^2)</f>
        <v>#N/A</v>
      </c>
      <c r="I44" s="99" t="str">
        <f>F43</f>
        <v>mL</v>
      </c>
      <c r="J44" s="103" t="e">
        <f>K28</f>
        <v>#N/A</v>
      </c>
      <c r="K44" s="99" t="s">
        <v>4</v>
      </c>
      <c r="L44" s="102" t="e">
        <f>J44*H44</f>
        <v>#N/A</v>
      </c>
      <c r="M44" s="99" t="s">
        <v>4</v>
      </c>
      <c r="N44" s="106" t="e">
        <f>L44^2</f>
        <v>#N/A</v>
      </c>
      <c r="O44" s="100" t="s">
        <v>17</v>
      </c>
      <c r="P44" s="100" t="s">
        <v>5</v>
      </c>
      <c r="Q44" s="104">
        <v>50</v>
      </c>
      <c r="R44" s="24"/>
    </row>
    <row r="45" spans="1:18" s="21" customFormat="1" ht="39.950000000000003" customHeight="1" thickBot="1" x14ac:dyDescent="0.3">
      <c r="A45" s="22"/>
      <c r="B45" s="1877" t="s">
        <v>377</v>
      </c>
      <c r="C45" s="1878"/>
      <c r="D45" s="112"/>
      <c r="E45" s="113">
        <f>I13/10</f>
        <v>1.6387060000000002</v>
      </c>
      <c r="F45" s="114" t="s">
        <v>4</v>
      </c>
      <c r="G45" s="113">
        <f>SQRT(3)</f>
        <v>1.7320508075688772</v>
      </c>
      <c r="H45" s="115">
        <f>E45/G45</f>
        <v>0.94610735022265502</v>
      </c>
      <c r="I45" s="114" t="str">
        <f>F44</f>
        <v>mL</v>
      </c>
      <c r="J45" s="115">
        <f>J43</f>
        <v>0.05</v>
      </c>
      <c r="K45" s="114" t="s">
        <v>4</v>
      </c>
      <c r="L45" s="117">
        <f>J45*H45</f>
        <v>4.7305367511132755E-2</v>
      </c>
      <c r="M45" s="114" t="s">
        <v>4</v>
      </c>
      <c r="N45" s="117">
        <f>L45^2</f>
        <v>2.2377977953633344E-3</v>
      </c>
      <c r="O45" s="113" t="s">
        <v>144</v>
      </c>
      <c r="P45" s="113" t="s">
        <v>5</v>
      </c>
      <c r="Q45" s="118" t="s">
        <v>11</v>
      </c>
      <c r="R45" s="24"/>
    </row>
    <row r="46" spans="1:18" s="22" customFormat="1" ht="39.950000000000003" customHeight="1" thickBot="1" x14ac:dyDescent="0.3">
      <c r="B46" s="107"/>
      <c r="C46" s="108"/>
      <c r="D46" s="108"/>
      <c r="E46" s="174"/>
      <c r="F46" s="109"/>
      <c r="G46" s="174"/>
      <c r="H46" s="174"/>
      <c r="I46" s="174"/>
      <c r="J46" s="110"/>
      <c r="K46" s="174"/>
      <c r="L46" s="174"/>
      <c r="M46" s="174"/>
      <c r="N46" s="249"/>
      <c r="O46" s="174"/>
      <c r="P46" s="174"/>
      <c r="Q46" s="111"/>
    </row>
    <row r="47" spans="1:18" s="21" customFormat="1" ht="39.950000000000003" customHeight="1" x14ac:dyDescent="0.25">
      <c r="A47" s="22"/>
      <c r="B47" s="1776" t="s">
        <v>378</v>
      </c>
      <c r="C47" s="1777"/>
      <c r="D47" s="240"/>
      <c r="E47" s="131">
        <f>I13/10</f>
        <v>1.6387060000000002</v>
      </c>
      <c r="F47" s="190" t="s">
        <v>4</v>
      </c>
      <c r="G47" s="131">
        <f>SQRT(3)</f>
        <v>1.7320508075688772</v>
      </c>
      <c r="H47" s="198">
        <f>E47/G47</f>
        <v>0.94610735022265502</v>
      </c>
      <c r="I47" s="190" t="str">
        <f>$I$45</f>
        <v>mL</v>
      </c>
      <c r="J47" s="199">
        <f>J43</f>
        <v>0.05</v>
      </c>
      <c r="K47" s="190" t="s">
        <v>4</v>
      </c>
      <c r="L47" s="200">
        <f>H47*J47</f>
        <v>4.7305367511132755E-2</v>
      </c>
      <c r="M47" s="190" t="s">
        <v>4</v>
      </c>
      <c r="N47" s="200">
        <f>L47^2</f>
        <v>2.2377977953633344E-3</v>
      </c>
      <c r="O47" s="131" t="s">
        <v>144</v>
      </c>
      <c r="P47" s="131" t="s">
        <v>5</v>
      </c>
      <c r="Q47" s="201" t="s">
        <v>11</v>
      </c>
      <c r="R47" s="24"/>
    </row>
    <row r="48" spans="1:18" s="21" customFormat="1" ht="39.950000000000003" customHeight="1" thickBot="1" x14ac:dyDescent="0.3">
      <c r="A48" s="22"/>
      <c r="B48" s="1877" t="s">
        <v>145</v>
      </c>
      <c r="C48" s="1878"/>
      <c r="D48" s="112"/>
      <c r="E48" s="115" t="e">
        <f>I13*((C21)/(2*F19))</f>
        <v>#DIV/0!</v>
      </c>
      <c r="F48" s="114" t="s">
        <v>4</v>
      </c>
      <c r="G48" s="113">
        <f>SQRT(12)</f>
        <v>3.4641016151377544</v>
      </c>
      <c r="H48" s="115" t="e">
        <f>E48/G48</f>
        <v>#DIV/0!</v>
      </c>
      <c r="I48" s="114" t="str">
        <f>$I$45</f>
        <v>mL</v>
      </c>
      <c r="J48" s="116">
        <v>1</v>
      </c>
      <c r="K48" s="114" t="s">
        <v>4</v>
      </c>
      <c r="L48" s="117" t="e">
        <f>H48*J48</f>
        <v>#DIV/0!</v>
      </c>
      <c r="M48" s="114" t="s">
        <v>4</v>
      </c>
      <c r="N48" s="117" t="e">
        <f>L48^2</f>
        <v>#DIV/0!</v>
      </c>
      <c r="O48" s="113"/>
      <c r="P48" s="113" t="s">
        <v>5</v>
      </c>
      <c r="Q48" s="118" t="s">
        <v>11</v>
      </c>
      <c r="R48" s="24"/>
    </row>
    <row r="49" spans="1:18" s="21" customFormat="1" ht="39.950000000000003" customHeight="1" thickBot="1" x14ac:dyDescent="0.3">
      <c r="A49" s="22"/>
      <c r="B49" s="1889" t="s">
        <v>379</v>
      </c>
      <c r="C49" s="1890"/>
      <c r="D49" s="191"/>
      <c r="E49" s="192"/>
      <c r="F49" s="114"/>
      <c r="G49" s="192"/>
      <c r="H49" s="194" t="e">
        <f>V16</f>
        <v>#N/A</v>
      </c>
      <c r="I49" s="193" t="str">
        <f>$I$45</f>
        <v>mL</v>
      </c>
      <c r="J49" s="195">
        <v>1</v>
      </c>
      <c r="K49" s="193" t="s">
        <v>4</v>
      </c>
      <c r="L49" s="196" t="e">
        <f>H49*J49</f>
        <v>#N/A</v>
      </c>
      <c r="M49" s="193" t="s">
        <v>4</v>
      </c>
      <c r="N49" s="196" t="e">
        <f>L49^2</f>
        <v>#N/A</v>
      </c>
      <c r="O49" s="192"/>
      <c r="P49" s="192" t="s">
        <v>5</v>
      </c>
      <c r="Q49" s="197">
        <v>2</v>
      </c>
      <c r="R49" s="24"/>
    </row>
    <row r="50" spans="1:18" s="42" customFormat="1" ht="39.950000000000003" customHeight="1" thickBot="1" x14ac:dyDescent="0.25">
      <c r="K50" s="119"/>
      <c r="L50" s="31"/>
      <c r="M50" s="204"/>
      <c r="N50" s="250" t="e">
        <f>SQRT(SUM(N42:N45,N47,N48,N49))</f>
        <v>#N/A</v>
      </c>
      <c r="O50" s="205" t="s">
        <v>4</v>
      </c>
      <c r="P50" s="32"/>
    </row>
    <row r="51" spans="1:18" s="42" customFormat="1" ht="39.950000000000003" customHeight="1" thickBot="1" x14ac:dyDescent="0.25">
      <c r="K51" s="121"/>
      <c r="L51" s="31"/>
      <c r="M51" s="122" t="s">
        <v>120</v>
      </c>
      <c r="N51" s="208" t="e">
        <f>N50*O53</f>
        <v>#N/A</v>
      </c>
      <c r="O51" s="209" t="s">
        <v>4</v>
      </c>
      <c r="P51" s="31"/>
    </row>
    <row r="52" spans="1:18" s="42" customFormat="1" ht="39.950000000000003" customHeight="1" thickBot="1" x14ac:dyDescent="0.25">
      <c r="L52" s="90"/>
      <c r="N52" s="206"/>
      <c r="O52" s="207" t="s">
        <v>94</v>
      </c>
      <c r="P52" s="123"/>
    </row>
    <row r="53" spans="1:18" s="42" customFormat="1" ht="39.950000000000003" customHeight="1" thickBot="1" x14ac:dyDescent="0.25">
      <c r="A53" s="124"/>
      <c r="L53" s="178" t="s">
        <v>380</v>
      </c>
      <c r="M53" s="179"/>
      <c r="N53" s="241" t="e">
        <f>(N50^4)/((L43^4/Q43)+(L44^4/Q44)+(L49^4/Q49))</f>
        <v>#N/A</v>
      </c>
      <c r="O53" s="202" t="e">
        <f>_xlfn.T.INV.2T(0.05,N53)</f>
        <v>#N/A</v>
      </c>
      <c r="P53" s="203" t="e">
        <f>TINV(0.05,N53)</f>
        <v>#N/A</v>
      </c>
    </row>
    <row r="54" spans="1:18" s="42" customFormat="1" ht="39.950000000000003" customHeight="1" thickBot="1" x14ac:dyDescent="0.25">
      <c r="B54" s="1916" t="s">
        <v>121</v>
      </c>
      <c r="C54" s="1917"/>
      <c r="D54" s="1917"/>
      <c r="E54" s="1917"/>
      <c r="F54" s="1917"/>
      <c r="G54" s="1918"/>
      <c r="I54" s="1316" t="s">
        <v>273</v>
      </c>
      <c r="O54" s="145"/>
    </row>
    <row r="55" spans="1:18" s="42" customFormat="1" ht="39.950000000000003" customHeight="1" thickBot="1" x14ac:dyDescent="0.25">
      <c r="B55" s="210" t="s">
        <v>60</v>
      </c>
      <c r="C55" s="211" t="s">
        <v>381</v>
      </c>
      <c r="D55" s="211" t="s">
        <v>382</v>
      </c>
      <c r="E55" s="212" t="s">
        <v>94</v>
      </c>
      <c r="F55" s="211" t="s">
        <v>7</v>
      </c>
      <c r="G55" s="213" t="s">
        <v>298</v>
      </c>
      <c r="I55" s="1198"/>
    </row>
    <row r="56" spans="1:18" s="42" customFormat="1" ht="39.950000000000003" customHeight="1" x14ac:dyDescent="0.2">
      <c r="B56" s="130" t="s">
        <v>4</v>
      </c>
      <c r="C56" s="214" t="e">
        <f>V14</f>
        <v>#N/A</v>
      </c>
      <c r="D56" s="215" t="e">
        <f>N50</f>
        <v>#N/A</v>
      </c>
      <c r="E56" s="1909">
        <v>2</v>
      </c>
      <c r="F56" s="216" t="e">
        <f>D56*E56</f>
        <v>#N/A</v>
      </c>
      <c r="G56" s="1906">
        <v>95</v>
      </c>
    </row>
    <row r="57" spans="1:18" s="42" customFormat="1" ht="39.950000000000003" customHeight="1" x14ac:dyDescent="0.2">
      <c r="B57" s="132" t="s">
        <v>212</v>
      </c>
      <c r="C57" s="135" t="e">
        <f>C56/J22</f>
        <v>#N/A</v>
      </c>
      <c r="D57" s="142" t="e">
        <f>C57/J22</f>
        <v>#N/A</v>
      </c>
      <c r="E57" s="1910"/>
      <c r="F57" s="217" t="e">
        <f>F56/J22</f>
        <v>#N/A</v>
      </c>
      <c r="G57" s="1907"/>
    </row>
    <row r="58" spans="1:18" s="42" customFormat="1" ht="39.950000000000003" customHeight="1" thickBot="1" x14ac:dyDescent="0.25">
      <c r="B58" s="133" t="s">
        <v>274</v>
      </c>
      <c r="C58" s="134" t="e">
        <f>(C57*100)/K20</f>
        <v>#N/A</v>
      </c>
      <c r="D58" s="143" t="e">
        <f>(D57*100)/1155</f>
        <v>#N/A</v>
      </c>
      <c r="E58" s="1911"/>
      <c r="F58" s="218" t="e">
        <f>(F57*100)/K20</f>
        <v>#N/A</v>
      </c>
      <c r="G58" s="1908"/>
    </row>
    <row r="59" spans="1:18" s="42" customFormat="1" x14ac:dyDescent="0.2"/>
    <row r="60" spans="1:18" s="42" customFormat="1" x14ac:dyDescent="0.2"/>
    <row r="61" spans="1:18" s="42" customFormat="1" x14ac:dyDescent="0.2"/>
  </sheetData>
  <sheetProtection password="CF5C" sheet="1" objects="1" scenarios="1"/>
  <dataConsolidate/>
  <mergeCells count="43">
    <mergeCell ref="G56:G58"/>
    <mergeCell ref="E56:E58"/>
    <mergeCell ref="R11:R13"/>
    <mergeCell ref="Q8:Q10"/>
    <mergeCell ref="B54:G54"/>
    <mergeCell ref="B11:C11"/>
    <mergeCell ref="D11:E11"/>
    <mergeCell ref="B10:E10"/>
    <mergeCell ref="Q11:Q13"/>
    <mergeCell ref="B48:C48"/>
    <mergeCell ref="B49:C49"/>
    <mergeCell ref="B39:Q39"/>
    <mergeCell ref="B40:C40"/>
    <mergeCell ref="H8:I8"/>
    <mergeCell ref="Q19:S20"/>
    <mergeCell ref="Q21:S21"/>
    <mergeCell ref="B24:L24"/>
    <mergeCell ref="H10:I10"/>
    <mergeCell ref="B17:F17"/>
    <mergeCell ref="B47:C47"/>
    <mergeCell ref="G17:K17"/>
    <mergeCell ref="D1:W1"/>
    <mergeCell ref="M3:N3"/>
    <mergeCell ref="A1:C1"/>
    <mergeCell ref="A42:A44"/>
    <mergeCell ref="B45:C45"/>
    <mergeCell ref="B44:C44"/>
    <mergeCell ref="B43:C43"/>
    <mergeCell ref="B42:C42"/>
    <mergeCell ref="T8:T10"/>
    <mergeCell ref="U8:U10"/>
    <mergeCell ref="V8:V10"/>
    <mergeCell ref="R8:R10"/>
    <mergeCell ref="S8:S10"/>
    <mergeCell ref="L6:P7"/>
    <mergeCell ref="D3:E3"/>
    <mergeCell ref="G3:H3"/>
    <mergeCell ref="J3:K3"/>
    <mergeCell ref="P3:R3"/>
    <mergeCell ref="Q6:V7"/>
    <mergeCell ref="A6:G6"/>
    <mergeCell ref="H6:I6"/>
    <mergeCell ref="H7:I7"/>
  </mergeCells>
  <pageMargins left="0.70866141732283472" right="0.70866141732283472" top="0.74803149606299213" bottom="0.74803149606299213" header="0.31496062992125984" footer="0.31496062992125984"/>
  <pageSetup scale="10" orientation="landscape" horizontalDpi="4294967293" r:id="rId1"/>
  <headerFooter>
    <oddFooter>&amp;RRT03-F11 Vr.11 (2021-05-10)</oddFooter>
  </headerFooter>
  <rowBreaks count="1" manualBreakCount="1">
    <brk id="36" max="22" man="1"/>
  </rowBreaks>
  <colBreaks count="1" manualBreakCount="1">
    <brk id="26" max="63" man="1"/>
  </colBreaks>
  <ignoredErrors>
    <ignoredError sqref="Q11:R11" unlockedFormula="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'DATOS %'!$D$7:$D$9</xm:f>
          </x14:formula1>
          <xm:sqref>S3</xm:sqref>
        </x14:dataValidation>
        <x14:dataValidation type="list" allowBlank="1" showInputMessage="1" showErrorMessage="1" xr:uid="{00000000-0002-0000-0400-000001000000}">
          <x14:formula1>
            <xm:f>'DATOS %'!$P$9:$P$13</xm:f>
          </x14:formula1>
          <xm:sqref>K7</xm:sqref>
        </x14:dataValidation>
        <x14:dataValidation type="list" allowBlank="1" showInputMessage="1" showErrorMessage="1" xr:uid="{00000000-0002-0000-0400-000002000000}">
          <x14:formula1>
            <xm:f>'DATOS %'!$AC$114:$AC$117</xm:f>
          </x14:formula1>
          <xm:sqref>F12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66CC"/>
  </sheetPr>
  <dimension ref="A1:N15"/>
  <sheetViews>
    <sheetView showGridLines="0" view="pageBreakPreview" zoomScale="80" zoomScaleNormal="80" zoomScaleSheetLayoutView="80" workbookViewId="0">
      <selection activeCell="M21" sqref="M21"/>
    </sheetView>
  </sheetViews>
  <sheetFormatPr baseColWidth="10" defaultColWidth="10.85546875" defaultRowHeight="15" x14ac:dyDescent="0.25"/>
  <cols>
    <col min="1" max="2" width="14.5703125" style="1211" customWidth="1"/>
    <col min="3" max="16384" width="10.85546875" style="1211"/>
  </cols>
  <sheetData>
    <row r="1" spans="1:14" ht="81.75" customHeight="1" x14ac:dyDescent="0.25">
      <c r="A1" s="1925"/>
      <c r="B1" s="1925"/>
      <c r="C1" s="1925"/>
      <c r="D1" s="1926" t="s">
        <v>275</v>
      </c>
      <c r="E1" s="1927"/>
      <c r="F1" s="1927"/>
      <c r="G1" s="1927"/>
      <c r="H1" s="1927"/>
      <c r="I1" s="1927"/>
      <c r="J1" s="1927"/>
      <c r="K1" s="1927"/>
      <c r="L1" s="1927"/>
      <c r="M1" s="1927"/>
      <c r="N1" s="1928"/>
    </row>
    <row r="2" spans="1:14" ht="17.25" customHeight="1" thickBot="1" x14ac:dyDescent="0.3">
      <c r="A2" s="1212"/>
      <c r="B2" s="1212"/>
      <c r="C2" s="1212"/>
      <c r="D2" s="1212"/>
      <c r="E2" s="1212"/>
      <c r="F2" s="1212"/>
      <c r="G2" s="1212"/>
      <c r="H2" s="1212"/>
      <c r="I2" s="1212"/>
      <c r="J2" s="1212"/>
      <c r="K2" s="1212"/>
      <c r="L2" s="1212"/>
      <c r="M2" s="1212"/>
      <c r="N2" s="1212"/>
    </row>
    <row r="3" spans="1:14" ht="15.75" thickBot="1" x14ac:dyDescent="0.3">
      <c r="M3" s="1318" t="s">
        <v>218</v>
      </c>
    </row>
    <row r="4" spans="1:14" ht="22.5" customHeight="1" thickBot="1" x14ac:dyDescent="0.3">
      <c r="B4" s="1324" t="s">
        <v>536</v>
      </c>
      <c r="C4" s="1935">
        <v>43798</v>
      </c>
      <c r="D4" s="1935"/>
      <c r="E4" s="1936"/>
      <c r="H4" s="1324" t="s">
        <v>536</v>
      </c>
      <c r="I4" s="1935">
        <v>44056</v>
      </c>
      <c r="J4" s="1935"/>
      <c r="K4" s="1936"/>
      <c r="M4" s="1317">
        <f>'RT03-F11 %'!M30</f>
        <v>18927.055</v>
      </c>
    </row>
    <row r="5" spans="1:14" ht="15.75" x14ac:dyDescent="0.25">
      <c r="B5" s="1929" t="s">
        <v>260</v>
      </c>
      <c r="C5" s="1930"/>
      <c r="D5" s="1930"/>
      <c r="E5" s="1931"/>
      <c r="F5" s="1209"/>
      <c r="H5" s="1929" t="s">
        <v>260</v>
      </c>
      <c r="I5" s="1930"/>
      <c r="J5" s="1930"/>
      <c r="K5" s="1931"/>
      <c r="L5" s="1209"/>
    </row>
    <row r="6" spans="1:14" ht="15.75" x14ac:dyDescent="0.25">
      <c r="B6" s="1932" t="s">
        <v>240</v>
      </c>
      <c r="C6" s="1933"/>
      <c r="D6" s="1933"/>
      <c r="E6" s="1934"/>
      <c r="F6" s="1209"/>
      <c r="H6" s="1932" t="s">
        <v>240</v>
      </c>
      <c r="I6" s="1933"/>
      <c r="J6" s="1933"/>
      <c r="K6" s="1934"/>
      <c r="L6" s="1209"/>
    </row>
    <row r="7" spans="1:14" x14ac:dyDescent="0.25">
      <c r="B7" s="1325">
        <v>18501</v>
      </c>
      <c r="C7" s="1326" t="s">
        <v>241</v>
      </c>
      <c r="D7" s="1326">
        <v>19336.599999999999</v>
      </c>
      <c r="E7" s="1327" t="s">
        <v>4</v>
      </c>
      <c r="F7" s="1142"/>
      <c r="G7" s="1323"/>
      <c r="H7" s="1325">
        <v>18501</v>
      </c>
      <c r="I7" s="1326" t="s">
        <v>241</v>
      </c>
      <c r="J7" s="1326">
        <v>19336.599999999999</v>
      </c>
      <c r="K7" s="1327" t="s">
        <v>4</v>
      </c>
      <c r="L7" s="1142"/>
    </row>
    <row r="8" spans="1:14" ht="18" x14ac:dyDescent="0.25">
      <c r="B8" s="1328">
        <v>1128.29</v>
      </c>
      <c r="C8" s="1326" t="s">
        <v>241</v>
      </c>
      <c r="D8" s="1326">
        <v>1179.99</v>
      </c>
      <c r="E8" s="1327" t="s">
        <v>641</v>
      </c>
      <c r="F8" s="1069"/>
      <c r="G8" s="1323"/>
      <c r="H8" s="1328">
        <v>1128.29</v>
      </c>
      <c r="I8" s="1326" t="s">
        <v>241</v>
      </c>
      <c r="J8" s="1326">
        <v>1179.99</v>
      </c>
      <c r="K8" s="1327" t="s">
        <v>641</v>
      </c>
      <c r="L8" s="1069"/>
    </row>
    <row r="9" spans="1:14" ht="15.75" thickBot="1" x14ac:dyDescent="0.3">
      <c r="B9" s="1328">
        <v>4.8917000000000002</v>
      </c>
      <c r="C9" s="1326" t="s">
        <v>241</v>
      </c>
      <c r="D9" s="1326">
        <v>5.1082000000000001</v>
      </c>
      <c r="E9" s="1327" t="s">
        <v>9</v>
      </c>
      <c r="F9" s="1069"/>
      <c r="G9" s="1323"/>
      <c r="H9" s="1328">
        <v>4.8917000000000002</v>
      </c>
      <c r="I9" s="1326" t="s">
        <v>241</v>
      </c>
      <c r="J9" s="1326">
        <v>5.1082000000000001</v>
      </c>
      <c r="K9" s="1327" t="s">
        <v>9</v>
      </c>
      <c r="L9" s="1069"/>
    </row>
    <row r="10" spans="1:14" ht="19.5" thickBot="1" x14ac:dyDescent="0.3">
      <c r="B10" s="1319" t="s">
        <v>201</v>
      </c>
      <c r="C10" s="1320" t="s">
        <v>4</v>
      </c>
      <c r="D10" s="1320" t="s">
        <v>617</v>
      </c>
      <c r="E10" s="1321" t="s">
        <v>9</v>
      </c>
      <c r="F10" s="1322" t="s">
        <v>274</v>
      </c>
      <c r="G10" s="1323"/>
      <c r="H10" s="1319" t="s">
        <v>201</v>
      </c>
      <c r="I10" s="1320" t="s">
        <v>4</v>
      </c>
      <c r="J10" s="1320" t="s">
        <v>617</v>
      </c>
      <c r="K10" s="1321" t="s">
        <v>9</v>
      </c>
      <c r="L10" s="1322" t="s">
        <v>274</v>
      </c>
    </row>
    <row r="11" spans="1:14" ht="15.75" thickBot="1" x14ac:dyDescent="0.3">
      <c r="B11" s="1328"/>
      <c r="C11" s="1326"/>
      <c r="D11" s="1326"/>
      <c r="E11" s="1327"/>
      <c r="F11" s="1329"/>
      <c r="G11" s="1323"/>
      <c r="H11" s="1330"/>
      <c r="I11" s="1331"/>
      <c r="J11" s="1331"/>
      <c r="K11" s="1332"/>
      <c r="L11" s="1333"/>
    </row>
    <row r="12" spans="1:14" ht="15.75" thickBot="1" x14ac:dyDescent="0.3">
      <c r="B12" s="1328">
        <v>1</v>
      </c>
      <c r="C12" s="1334">
        <v>4.5999999999999996</v>
      </c>
      <c r="D12" s="1326">
        <v>0.28000000000000003</v>
      </c>
      <c r="E12" s="1327">
        <v>1.1999999999999999E-3</v>
      </c>
      <c r="F12" s="1335">
        <f>(C12/M4)*100</f>
        <v>2.4303833850538286E-2</v>
      </c>
      <c r="G12" s="1323"/>
      <c r="H12" s="438">
        <v>1</v>
      </c>
      <c r="I12" s="1336">
        <v>5</v>
      </c>
      <c r="J12" s="1337">
        <v>0.31</v>
      </c>
      <c r="K12" s="1338">
        <v>1.2999999999999999E-3</v>
      </c>
      <c r="L12" s="1339">
        <f>(I12/M4)*100</f>
        <v>2.6417210707106838E-2</v>
      </c>
      <c r="M12" s="1213"/>
    </row>
    <row r="13" spans="1:14" ht="15.75" thickBot="1" x14ac:dyDescent="0.3">
      <c r="B13" s="1340"/>
      <c r="C13" s="1341"/>
      <c r="D13" s="1342"/>
      <c r="E13" s="1343"/>
      <c r="F13" s="1344"/>
      <c r="G13" s="1323"/>
      <c r="H13" s="1345"/>
      <c r="I13" s="1346"/>
      <c r="J13" s="1347"/>
      <c r="K13" s="1348"/>
      <c r="L13" s="1349"/>
    </row>
    <row r="15" spans="1:14" x14ac:dyDescent="0.25">
      <c r="L15" s="1214"/>
    </row>
  </sheetData>
  <sheetProtection password="CF5C" sheet="1" objects="1" scenarios="1"/>
  <mergeCells count="8">
    <mergeCell ref="A1:C1"/>
    <mergeCell ref="D1:N1"/>
    <mergeCell ref="B5:E5"/>
    <mergeCell ref="B6:E6"/>
    <mergeCell ref="C4:E4"/>
    <mergeCell ref="I4:K4"/>
    <mergeCell ref="H5:K5"/>
    <mergeCell ref="H6:K6"/>
  </mergeCells>
  <pageMargins left="0.70866141732283472" right="0.70866141732283472" top="0.74803149606299213" bottom="0.74803149606299213" header="0.31496062992125984" footer="0.31496062992125984"/>
  <pageSetup scale="56" orientation="portrait" r:id="rId1"/>
  <headerFooter>
    <oddFooter>&amp;RRT03-F11 Vr.11 (2021-05-10)</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66CC"/>
  </sheetPr>
  <dimension ref="A1:M44"/>
  <sheetViews>
    <sheetView showGridLines="0" view="pageBreakPreview" zoomScale="80" zoomScaleNormal="70" zoomScaleSheetLayoutView="80" workbookViewId="0">
      <selection activeCell="G12" sqref="G12"/>
    </sheetView>
  </sheetViews>
  <sheetFormatPr baseColWidth="10" defaultColWidth="11.42578125" defaultRowHeight="15" x14ac:dyDescent="0.2"/>
  <cols>
    <col min="1" max="1" width="11.42578125" style="254"/>
    <col min="2" max="2" width="20.28515625" style="254" customWidth="1"/>
    <col min="3" max="12" width="18.7109375" style="254" customWidth="1"/>
    <col min="13" max="16384" width="11.42578125" style="254"/>
  </cols>
  <sheetData>
    <row r="1" spans="1:13" ht="93" customHeight="1" x14ac:dyDescent="0.2">
      <c r="A1" s="1944"/>
      <c r="B1" s="1944"/>
      <c r="C1" s="1944"/>
      <c r="D1" s="1850" t="s">
        <v>275</v>
      </c>
      <c r="E1" s="1851"/>
      <c r="F1" s="1851"/>
      <c r="G1" s="1851"/>
      <c r="H1" s="1851"/>
      <c r="I1" s="1851"/>
      <c r="J1" s="1851"/>
      <c r="K1" s="1851"/>
      <c r="L1" s="1851"/>
      <c r="M1" s="1852"/>
    </row>
    <row r="2" spans="1:13" ht="9" customHeight="1" thickBot="1" x14ac:dyDescent="0.25"/>
    <row r="3" spans="1:13" ht="15" customHeight="1" x14ac:dyDescent="0.2">
      <c r="B3" s="1945" t="s">
        <v>512</v>
      </c>
      <c r="C3" s="1946"/>
      <c r="D3" s="1946"/>
      <c r="E3" s="1946"/>
      <c r="F3" s="1946"/>
      <c r="G3" s="1946"/>
      <c r="H3" s="1946"/>
      <c r="I3" s="1946"/>
      <c r="J3" s="1946"/>
      <c r="K3" s="1946"/>
      <c r="L3" s="1946"/>
    </row>
    <row r="4" spans="1:13" ht="23.25" customHeight="1" thickBot="1" x14ac:dyDescent="0.25">
      <c r="B4" s="1947"/>
      <c r="C4" s="1948"/>
      <c r="D4" s="1948"/>
      <c r="E4" s="1948"/>
      <c r="F4" s="1948"/>
      <c r="G4" s="1948"/>
      <c r="H4" s="1948"/>
      <c r="I4" s="1948"/>
      <c r="J4" s="1948"/>
      <c r="K4" s="1948"/>
      <c r="L4" s="1948"/>
    </row>
    <row r="5" spans="1:13" ht="23.25" customHeight="1" thickBot="1" x14ac:dyDescent="0.25"/>
    <row r="6" spans="1:13" s="256" customFormat="1" ht="39" customHeight="1" thickBot="1" x14ac:dyDescent="0.25">
      <c r="B6" s="1941" t="s">
        <v>303</v>
      </c>
      <c r="C6" s="1942"/>
      <c r="D6" s="1942"/>
      <c r="E6" s="1942"/>
      <c r="F6" s="1943"/>
      <c r="G6" s="255"/>
      <c r="H6" s="1941" t="s">
        <v>604</v>
      </c>
      <c r="I6" s="1942"/>
      <c r="J6" s="1942"/>
      <c r="K6" s="1942"/>
      <c r="L6" s="1943"/>
    </row>
    <row r="7" spans="1:13" s="257" customFormat="1" ht="30" customHeight="1" x14ac:dyDescent="0.25">
      <c r="B7" s="1356" t="s">
        <v>605</v>
      </c>
      <c r="C7" s="1357">
        <f>'RT03-F11 %'!K33</f>
        <v>0</v>
      </c>
      <c r="D7" s="1358" t="s">
        <v>568</v>
      </c>
      <c r="E7" s="1357">
        <f>'RT03-F11 %'!P33</f>
        <v>0</v>
      </c>
      <c r="F7" s="1359">
        <f>'RT03-F11 %'!Q36</f>
        <v>0</v>
      </c>
      <c r="G7" s="259"/>
      <c r="H7" s="1356" t="s">
        <v>605</v>
      </c>
      <c r="I7" s="1357">
        <f>'Después de ajuste %'!K33</f>
        <v>0</v>
      </c>
      <c r="J7" s="1358" t="s">
        <v>568</v>
      </c>
      <c r="K7" s="1357">
        <f>'Después de ajuste %'!P33</f>
        <v>0</v>
      </c>
      <c r="L7" s="1359">
        <f>'Después de ajuste %'!Q36</f>
        <v>0</v>
      </c>
    </row>
    <row r="8" spans="1:13" s="257" customFormat="1" ht="30" customHeight="1" x14ac:dyDescent="0.25">
      <c r="B8" s="1350" t="s">
        <v>445</v>
      </c>
      <c r="C8" s="1351" t="s">
        <v>513</v>
      </c>
      <c r="D8" s="1351" t="s">
        <v>3</v>
      </c>
      <c r="E8" s="1351" t="s">
        <v>476</v>
      </c>
      <c r="F8" s="1361" t="s">
        <v>15</v>
      </c>
      <c r="G8" s="1360"/>
      <c r="H8" s="1350" t="s">
        <v>445</v>
      </c>
      <c r="I8" s="1351" t="s">
        <v>513</v>
      </c>
      <c r="J8" s="1351" t="s">
        <v>3</v>
      </c>
      <c r="K8" s="1351" t="s">
        <v>476</v>
      </c>
      <c r="L8" s="1361" t="s">
        <v>15</v>
      </c>
    </row>
    <row r="9" spans="1:13" s="257" customFormat="1" ht="32.1" customHeight="1" x14ac:dyDescent="0.25">
      <c r="B9" s="1939" t="e">
        <f>'RT03-F11 %'!M3</f>
        <v>#N/A</v>
      </c>
      <c r="C9" s="1352" t="s">
        <v>446</v>
      </c>
      <c r="D9" s="811"/>
      <c r="E9" s="811"/>
      <c r="F9" s="812"/>
      <c r="G9" s="1360"/>
      <c r="H9" s="1939" t="e">
        <f>'Después de ajuste %'!M3</f>
        <v>#N/A</v>
      </c>
      <c r="I9" s="1352" t="s">
        <v>446</v>
      </c>
      <c r="J9" s="811"/>
      <c r="K9" s="811"/>
      <c r="L9" s="812"/>
    </row>
    <row r="10" spans="1:13" s="257" customFormat="1" ht="32.1" customHeight="1" x14ac:dyDescent="0.25">
      <c r="B10" s="1939"/>
      <c r="C10" s="1352" t="s">
        <v>447</v>
      </c>
      <c r="D10" s="811"/>
      <c r="E10" s="811"/>
      <c r="F10" s="812"/>
      <c r="G10" s="1360"/>
      <c r="H10" s="1939"/>
      <c r="I10" s="1352" t="s">
        <v>447</v>
      </c>
      <c r="J10" s="811"/>
      <c r="K10" s="811"/>
      <c r="L10" s="812"/>
    </row>
    <row r="11" spans="1:13" s="257" customFormat="1" ht="32.1" customHeight="1" x14ac:dyDescent="0.25">
      <c r="B11" s="1939"/>
      <c r="C11" s="1352" t="s">
        <v>642</v>
      </c>
      <c r="D11" s="822" t="e">
        <f>$D$9+((VLOOKUP('RT03-F11 %'!$Q$36,'DATOS %'!$B$158:$O$164,9,FALSE))*$D$9+(VLOOKUP('RT03-F11 %'!$Q$36,'DATOS %'!$B$158:$O$164,10,FALSE)))</f>
        <v>#N/A</v>
      </c>
      <c r="E11" s="822" t="e">
        <f>$E$9+((VLOOKUP('RT03-F11 %'!$Q$36,'DATOS %'!$B$158:$O$164,11,FALSE))*$E$9+(VLOOKUP('RT03-F11 %'!$Q$36,'DATOS %'!$B$158:$O$164,12,FALSE)))</f>
        <v>#N/A</v>
      </c>
      <c r="F11" s="1354" t="e">
        <f>$F$9+((VLOOKUP('RT03-F11 %'!$Q$36,'DATOS %'!$B$158:$O$164,13,FALSE))*$F$9+(VLOOKUP('RT03-F11 %'!$Q$36,'DATOS %'!$B$158:$O$164,14,FALSE)))</f>
        <v>#N/A</v>
      </c>
      <c r="G11" s="1360"/>
      <c r="H11" s="1939"/>
      <c r="I11" s="1352" t="s">
        <v>642</v>
      </c>
      <c r="J11" s="822" t="e">
        <f>$J$9+((VLOOKUP('Después de ajuste %'!$Q$36,'DATOS %'!$B$158:$O$164,9,FALSE))*$J$9+(VLOOKUP('Después de ajuste %'!$Q$36,'DATOS %'!$B$158:$O$164,10,FALSE)))</f>
        <v>#N/A</v>
      </c>
      <c r="K11" s="822" t="e">
        <f>$K$9+((VLOOKUP('Después de ajuste %'!$Q$36,'DATOS %'!$B$158:$O$164,11,FALSE))*$K$9+(VLOOKUP('Después de ajuste %'!$Q$36,'DATOS %'!$B$158:$O$164,12,FALSE)))</f>
        <v>#N/A</v>
      </c>
      <c r="L11" s="1354" t="e">
        <f>$L$9+((VLOOKUP('Después de ajuste %'!$Q$36,'DATOS %'!$B$158:$O$164,13,FALSE))*$L$9+(VLOOKUP('Después de ajuste %'!$Q$36,'DATOS %'!$B$158:$O$164,14,FALSE)))</f>
        <v>#N/A</v>
      </c>
    </row>
    <row r="12" spans="1:13" s="257" customFormat="1" ht="32.1" customHeight="1" thickBot="1" x14ac:dyDescent="0.3">
      <c r="B12" s="1940"/>
      <c r="C12" s="1353" t="s">
        <v>643</v>
      </c>
      <c r="D12" s="823" t="e">
        <f>$D$10+((VLOOKUP('RT03-F11 %'!$Q$36,'DATOS %'!$B$158:$O$164,9,FALSE))*$D$10+(VLOOKUP('RT03-F11 %'!$Q$36,'DATOS %'!$B$158:$O$164,10,FALSE)))</f>
        <v>#N/A</v>
      </c>
      <c r="E12" s="823" t="e">
        <f>$E$10+((VLOOKUP('RT03-F11 %'!$Q$36,'DATOS %'!$B$158:$O$164,11,FALSE))*$E$10+(VLOOKUP('RT03-F11 %'!$Q$36,'DATOS %'!$B$158:$O$164,12,FALSE)))</f>
        <v>#N/A</v>
      </c>
      <c r="F12" s="1355" t="e">
        <f>$F$10+((VLOOKUP('RT03-F11 %'!$Q$36,'DATOS %'!$B$158:$O$164,13,FALSE))*$F$10+(VLOOKUP('RT03-F11 %'!$Q$36,'DATOS %'!$B$158:$O$164,14,FALSE)))</f>
        <v>#N/A</v>
      </c>
      <c r="G12" s="1360"/>
      <c r="H12" s="1940"/>
      <c r="I12" s="1353" t="s">
        <v>643</v>
      </c>
      <c r="J12" s="823" t="e">
        <f>$J$10+((VLOOKUP('Después de ajuste %'!$Q$36,'DATOS %'!$B$158:$O$164,9,FALSE))*$J$10+(VLOOKUP('Después de ajuste %'!$Q$36,'DATOS %'!$B$158:$O$164,10,FALSE)))</f>
        <v>#N/A</v>
      </c>
      <c r="K12" s="823" t="e">
        <f>$K$10+((VLOOKUP('Después de ajuste %'!$Q$36,'DATOS %'!$B$158:$O$164,11,FALSE))*$K$10+(VLOOKUP('Después de ajuste %'!$Q$36,'DATOS %'!$B$158:$O$164,12,FALSE)))</f>
        <v>#N/A</v>
      </c>
      <c r="L12" s="1355" t="e">
        <f>$L$10+((VLOOKUP('Después de ajuste %'!$Q$36,'DATOS %'!$B$158:$O$164,13,FALSE))*$L$10+(VLOOKUP('Después de ajuste %'!$Q$36,'DATOS %'!$B$158:$O$164,14,FALSE)))</f>
        <v>#N/A</v>
      </c>
    </row>
    <row r="13" spans="1:13" s="257" customFormat="1" ht="30" customHeight="1" x14ac:dyDescent="0.2">
      <c r="C13" s="258"/>
      <c r="D13" s="259"/>
      <c r="E13" s="259"/>
      <c r="F13" s="259"/>
      <c r="H13" s="254"/>
      <c r="I13" s="254"/>
      <c r="J13" s="254"/>
      <c r="K13" s="254"/>
      <c r="L13" s="254"/>
    </row>
    <row r="14" spans="1:13" s="257" customFormat="1" ht="30" customHeight="1" x14ac:dyDescent="0.25">
      <c r="C14" s="258"/>
      <c r="D14" s="259"/>
      <c r="E14" s="259"/>
      <c r="F14" s="259"/>
    </row>
    <row r="15" spans="1:13" s="257" customFormat="1" ht="30" customHeight="1" x14ac:dyDescent="0.25">
      <c r="B15" s="1938"/>
      <c r="C15" s="1938"/>
      <c r="D15" s="1938"/>
      <c r="E15" s="1938"/>
      <c r="F15" s="1938"/>
      <c r="G15" s="260"/>
    </row>
    <row r="16" spans="1:13" s="257" customFormat="1" ht="30" customHeight="1" x14ac:dyDescent="0.25">
      <c r="B16" s="261"/>
      <c r="C16" s="260"/>
      <c r="D16" s="261"/>
      <c r="E16" s="261"/>
      <c r="F16" s="261"/>
      <c r="G16" s="260"/>
      <c r="H16" s="261"/>
      <c r="I16" s="260"/>
      <c r="J16" s="261"/>
      <c r="K16" s="261"/>
      <c r="L16" s="261"/>
    </row>
    <row r="17" spans="2:12" s="257" customFormat="1" ht="30" customHeight="1" x14ac:dyDescent="0.25">
      <c r="B17" s="1937"/>
      <c r="C17" s="262"/>
      <c r="D17" s="263"/>
      <c r="E17" s="263"/>
      <c r="F17" s="263"/>
      <c r="G17" s="260"/>
      <c r="H17" s="1937"/>
      <c r="I17" s="262"/>
      <c r="J17" s="263"/>
      <c r="K17" s="263"/>
      <c r="L17" s="263"/>
    </row>
    <row r="18" spans="2:12" s="257" customFormat="1" ht="30" customHeight="1" x14ac:dyDescent="0.25">
      <c r="B18" s="1937"/>
      <c r="C18" s="264"/>
      <c r="D18" s="265"/>
      <c r="E18" s="265"/>
      <c r="F18" s="265"/>
      <c r="G18" s="260"/>
      <c r="H18" s="1937"/>
      <c r="I18" s="264"/>
      <c r="J18" s="265"/>
      <c r="K18" s="265"/>
      <c r="L18" s="265"/>
    </row>
    <row r="19" spans="2:12" s="257" customFormat="1" ht="30" customHeight="1" x14ac:dyDescent="0.25">
      <c r="B19" s="1937"/>
      <c r="C19" s="264"/>
      <c r="D19" s="265"/>
      <c r="E19" s="265"/>
      <c r="F19" s="265"/>
      <c r="G19" s="260"/>
      <c r="H19" s="1937"/>
      <c r="I19" s="264"/>
      <c r="J19" s="265"/>
      <c r="K19" s="265"/>
      <c r="L19" s="265"/>
    </row>
    <row r="20" spans="2:12" s="257" customFormat="1" ht="30" customHeight="1" x14ac:dyDescent="0.25">
      <c r="B20" s="1937"/>
      <c r="C20" s="262"/>
      <c r="D20" s="263"/>
      <c r="E20" s="263"/>
      <c r="F20" s="263"/>
      <c r="G20" s="260"/>
      <c r="H20" s="1937"/>
      <c r="I20" s="262"/>
      <c r="J20" s="263"/>
      <c r="K20" s="263"/>
      <c r="L20" s="263"/>
    </row>
    <row r="21" spans="2:12" s="257" customFormat="1" ht="30" customHeight="1" x14ac:dyDescent="0.25">
      <c r="B21" s="1937"/>
      <c r="C21" s="262"/>
      <c r="D21" s="263"/>
      <c r="E21" s="263"/>
      <c r="F21" s="263"/>
      <c r="G21" s="260"/>
      <c r="H21" s="1937"/>
      <c r="I21" s="262"/>
      <c r="J21" s="263"/>
      <c r="K21" s="263"/>
      <c r="L21" s="263"/>
    </row>
    <row r="22" spans="2:12" s="257" customFormat="1" ht="30" customHeight="1" x14ac:dyDescent="0.25">
      <c r="B22" s="260"/>
      <c r="C22" s="260"/>
      <c r="D22" s="260"/>
      <c r="E22" s="260"/>
      <c r="F22" s="260"/>
      <c r="G22" s="260"/>
      <c r="H22" s="260"/>
      <c r="I22" s="260"/>
      <c r="J22" s="260"/>
      <c r="K22" s="260"/>
      <c r="L22" s="260"/>
    </row>
    <row r="23" spans="2:12" s="257" customFormat="1" ht="30" customHeight="1" x14ac:dyDescent="0.25">
      <c r="B23" s="260"/>
      <c r="C23" s="260"/>
      <c r="D23" s="260"/>
      <c r="E23" s="260"/>
      <c r="F23" s="260"/>
      <c r="G23" s="260"/>
      <c r="H23" s="260"/>
      <c r="I23" s="260"/>
      <c r="J23" s="260"/>
      <c r="K23" s="260"/>
      <c r="L23" s="260"/>
    </row>
    <row r="24" spans="2:12" s="257" customFormat="1" ht="30" customHeight="1" x14ac:dyDescent="0.25">
      <c r="B24" s="1938"/>
      <c r="C24" s="1938"/>
      <c r="D24" s="1938"/>
      <c r="E24" s="1938"/>
      <c r="F24" s="1938"/>
      <c r="G24" s="260"/>
      <c r="H24" s="1938"/>
      <c r="I24" s="1938"/>
      <c r="J24" s="1938"/>
      <c r="K24" s="1938"/>
      <c r="L24" s="1938"/>
    </row>
    <row r="25" spans="2:12" s="257" customFormat="1" ht="30" customHeight="1" x14ac:dyDescent="0.25">
      <c r="B25" s="261"/>
      <c r="C25" s="260"/>
      <c r="D25" s="261"/>
      <c r="E25" s="261"/>
      <c r="F25" s="261"/>
      <c r="G25" s="260"/>
      <c r="H25" s="261"/>
      <c r="I25" s="260"/>
      <c r="J25" s="261"/>
      <c r="K25" s="261"/>
      <c r="L25" s="261"/>
    </row>
    <row r="26" spans="2:12" s="257" customFormat="1" ht="30" customHeight="1" x14ac:dyDescent="0.25">
      <c r="B26" s="1937"/>
      <c r="C26" s="262"/>
      <c r="D26" s="263"/>
      <c r="E26" s="263"/>
      <c r="F26" s="263"/>
      <c r="G26" s="260"/>
      <c r="H26" s="1937"/>
      <c r="I26" s="262"/>
      <c r="J26" s="263"/>
      <c r="K26" s="263"/>
      <c r="L26" s="263"/>
    </row>
    <row r="27" spans="2:12" s="257" customFormat="1" ht="30" customHeight="1" x14ac:dyDescent="0.25">
      <c r="B27" s="1937"/>
      <c r="C27" s="264"/>
      <c r="D27" s="265"/>
      <c r="E27" s="265"/>
      <c r="F27" s="265"/>
      <c r="G27" s="260"/>
      <c r="H27" s="1937"/>
      <c r="I27" s="264"/>
      <c r="J27" s="265"/>
      <c r="K27" s="265"/>
      <c r="L27" s="265"/>
    </row>
    <row r="28" spans="2:12" s="257" customFormat="1" ht="30" customHeight="1" x14ac:dyDescent="0.25">
      <c r="B28" s="1937"/>
      <c r="C28" s="264"/>
      <c r="D28" s="265"/>
      <c r="E28" s="265"/>
      <c r="F28" s="265"/>
      <c r="G28" s="260"/>
      <c r="H28" s="1937"/>
      <c r="I28" s="264"/>
      <c r="J28" s="265"/>
      <c r="K28" s="265"/>
      <c r="L28" s="265"/>
    </row>
    <row r="29" spans="2:12" s="257" customFormat="1" ht="30" customHeight="1" x14ac:dyDescent="0.25">
      <c r="B29" s="1937"/>
      <c r="C29" s="262"/>
      <c r="D29" s="263"/>
      <c r="E29" s="263"/>
      <c r="F29" s="263"/>
      <c r="G29" s="260"/>
      <c r="H29" s="1937"/>
      <c r="I29" s="262"/>
      <c r="J29" s="263"/>
      <c r="K29" s="263"/>
      <c r="L29" s="263"/>
    </row>
    <row r="30" spans="2:12" s="257" customFormat="1" ht="30" customHeight="1" x14ac:dyDescent="0.25">
      <c r="B30" s="1937"/>
      <c r="C30" s="262"/>
      <c r="D30" s="263"/>
      <c r="E30" s="263"/>
      <c r="F30" s="263"/>
      <c r="G30" s="260"/>
      <c r="H30" s="1937"/>
      <c r="I30" s="262"/>
      <c r="J30" s="263"/>
      <c r="K30" s="263"/>
      <c r="L30" s="263"/>
    </row>
    <row r="31" spans="2:12" s="257" customFormat="1" ht="30" customHeight="1" x14ac:dyDescent="0.25">
      <c r="B31" s="260"/>
      <c r="C31" s="266"/>
      <c r="D31" s="262"/>
      <c r="E31" s="262"/>
      <c r="F31" s="262"/>
      <c r="G31" s="260"/>
      <c r="H31" s="260"/>
      <c r="I31" s="260"/>
      <c r="J31" s="260"/>
      <c r="K31" s="260"/>
      <c r="L31" s="260"/>
    </row>
    <row r="32" spans="2:12" s="257" customFormat="1" ht="30" customHeight="1" x14ac:dyDescent="0.25">
      <c r="B32" s="260"/>
      <c r="C32" s="260"/>
      <c r="D32" s="260"/>
      <c r="E32" s="260"/>
      <c r="F32" s="260"/>
      <c r="G32" s="260"/>
      <c r="H32" s="260"/>
      <c r="I32" s="260"/>
      <c r="J32" s="260"/>
      <c r="K32" s="260"/>
      <c r="L32" s="260"/>
    </row>
    <row r="33" spans="2:12" s="257" customFormat="1" ht="30" customHeight="1" x14ac:dyDescent="0.25">
      <c r="B33" s="1938"/>
      <c r="C33" s="1938"/>
      <c r="D33" s="1938"/>
      <c r="E33" s="1938"/>
      <c r="F33" s="1938"/>
      <c r="G33" s="260"/>
      <c r="H33" s="1938"/>
      <c r="I33" s="1938"/>
      <c r="J33" s="1938"/>
      <c r="K33" s="1938"/>
      <c r="L33" s="1938"/>
    </row>
    <row r="34" spans="2:12" s="257" customFormat="1" ht="30" customHeight="1" x14ac:dyDescent="0.25">
      <c r="B34" s="261"/>
      <c r="C34" s="260"/>
      <c r="D34" s="261"/>
      <c r="E34" s="261"/>
      <c r="F34" s="261"/>
      <c r="G34" s="260"/>
      <c r="H34" s="261"/>
      <c r="I34" s="260"/>
      <c r="J34" s="261"/>
      <c r="K34" s="261"/>
      <c r="L34" s="261"/>
    </row>
    <row r="35" spans="2:12" s="257" customFormat="1" ht="30" customHeight="1" x14ac:dyDescent="0.25">
      <c r="B35" s="1937"/>
      <c r="C35" s="262"/>
      <c r="D35" s="263"/>
      <c r="E35" s="263"/>
      <c r="F35" s="263"/>
      <c r="G35" s="260"/>
      <c r="H35" s="1937"/>
      <c r="I35" s="262"/>
      <c r="J35" s="263"/>
      <c r="K35" s="263"/>
      <c r="L35" s="263"/>
    </row>
    <row r="36" spans="2:12" s="257" customFormat="1" ht="30" customHeight="1" x14ac:dyDescent="0.25">
      <c r="B36" s="1937"/>
      <c r="C36" s="264"/>
      <c r="D36" s="265"/>
      <c r="E36" s="265"/>
      <c r="F36" s="265"/>
      <c r="G36" s="260"/>
      <c r="H36" s="1937"/>
      <c r="I36" s="264"/>
      <c r="J36" s="265"/>
      <c r="K36" s="265"/>
      <c r="L36" s="265"/>
    </row>
    <row r="37" spans="2:12" s="257" customFormat="1" ht="30" customHeight="1" x14ac:dyDescent="0.25">
      <c r="B37" s="1937"/>
      <c r="C37" s="264"/>
      <c r="D37" s="265"/>
      <c r="E37" s="265"/>
      <c r="F37" s="265"/>
      <c r="G37" s="260"/>
      <c r="H37" s="1937"/>
      <c r="I37" s="264"/>
      <c r="J37" s="265"/>
      <c r="K37" s="265"/>
      <c r="L37" s="265"/>
    </row>
    <row r="38" spans="2:12" s="257" customFormat="1" ht="30" customHeight="1" x14ac:dyDescent="0.25">
      <c r="B38" s="1937"/>
      <c r="C38" s="262"/>
      <c r="D38" s="263"/>
      <c r="E38" s="263"/>
      <c r="F38" s="263"/>
      <c r="G38" s="260"/>
      <c r="H38" s="1937"/>
      <c r="I38" s="262"/>
      <c r="J38" s="263"/>
      <c r="K38" s="263"/>
      <c r="L38" s="263"/>
    </row>
    <row r="39" spans="2:12" s="257" customFormat="1" ht="30" customHeight="1" x14ac:dyDescent="0.25">
      <c r="B39" s="1937"/>
      <c r="C39" s="262"/>
      <c r="D39" s="263"/>
      <c r="E39" s="263"/>
      <c r="F39" s="263"/>
      <c r="G39" s="260"/>
      <c r="H39" s="1937"/>
      <c r="I39" s="262"/>
      <c r="J39" s="263"/>
      <c r="K39" s="263"/>
      <c r="L39" s="263"/>
    </row>
    <row r="40" spans="2:12" s="257" customFormat="1" x14ac:dyDescent="0.25"/>
    <row r="41" spans="2:12" s="257" customFormat="1" x14ac:dyDescent="0.25"/>
    <row r="42" spans="2:12" s="257" customFormat="1" x14ac:dyDescent="0.25"/>
    <row r="43" spans="2:12" s="257" customFormat="1" x14ac:dyDescent="0.25"/>
    <row r="44" spans="2:12" s="257" customFormat="1" x14ac:dyDescent="0.25"/>
  </sheetData>
  <sheetProtection password="CF5C" sheet="1" objects="1" scenarios="1"/>
  <mergeCells count="18">
    <mergeCell ref="B15:F15"/>
    <mergeCell ref="B9:B12"/>
    <mergeCell ref="H6:L6"/>
    <mergeCell ref="H9:H12"/>
    <mergeCell ref="A1:C1"/>
    <mergeCell ref="D1:M1"/>
    <mergeCell ref="B3:L4"/>
    <mergeCell ref="B6:F6"/>
    <mergeCell ref="B17:B21"/>
    <mergeCell ref="H17:H21"/>
    <mergeCell ref="B24:F24"/>
    <mergeCell ref="H24:L24"/>
    <mergeCell ref="B35:B39"/>
    <mergeCell ref="H35:H39"/>
    <mergeCell ref="B26:B30"/>
    <mergeCell ref="H26:H30"/>
    <mergeCell ref="B33:F33"/>
    <mergeCell ref="H33:L33"/>
  </mergeCells>
  <conditionalFormatting sqref="F7">
    <cfRule type="colorScale" priority="2">
      <colorScale>
        <cfvo type="min"/>
        <cfvo type="max"/>
        <color rgb="FFFF7128"/>
        <color rgb="FF967D00"/>
      </colorScale>
    </cfRule>
  </conditionalFormatting>
  <conditionalFormatting sqref="L7">
    <cfRule type="colorScale" priority="1">
      <colorScale>
        <cfvo type="min"/>
        <cfvo type="max"/>
        <color rgb="FFFF7128"/>
        <color rgb="FF967D00"/>
      </colorScale>
    </cfRule>
  </conditionalFormatting>
  <pageMargins left="0.70866141732283472" right="0.70866141732283472" top="0.74803149606299213" bottom="0.74803149606299213" header="0.31496062992125984" footer="0.31496062992125984"/>
  <pageSetup scale="20" orientation="portrait" r:id="rId1"/>
  <headerFooter>
    <oddFooter>&amp;RRT03-F11 Vr.11 (2021-05-10)</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66CC"/>
  </sheetPr>
  <dimension ref="A1:Y164"/>
  <sheetViews>
    <sheetView showGridLines="0" view="pageBreakPreview" zoomScaleNormal="100" zoomScaleSheetLayoutView="100" workbookViewId="0">
      <selection activeCell="A157" sqref="A157"/>
    </sheetView>
  </sheetViews>
  <sheetFormatPr baseColWidth="10" defaultColWidth="11.42578125" defaultRowHeight="15.75" x14ac:dyDescent="0.25"/>
  <cols>
    <col min="1" max="1" width="5.7109375" style="1061" customWidth="1"/>
    <col min="2" max="2" width="13.5703125" style="1061" customWidth="1"/>
    <col min="3" max="8" width="12.7109375" style="1061" customWidth="1"/>
    <col min="9" max="9" width="18" style="1061" customWidth="1"/>
    <col min="10" max="10" width="9.42578125" style="1061" customWidth="1"/>
    <col min="11" max="11" width="15" style="1061" customWidth="1"/>
    <col min="12" max="12" width="8.28515625" style="1061" customWidth="1"/>
    <col min="13" max="13" width="10.140625" style="1061" customWidth="1"/>
    <col min="14" max="14" width="8" style="1061" customWidth="1"/>
    <col min="15" max="15" width="13.85546875" style="1061" customWidth="1"/>
    <col min="16" max="16" width="0.5703125" style="1061" customWidth="1"/>
    <col min="17" max="17" width="1.7109375" style="1061" customWidth="1"/>
    <col min="18" max="16384" width="11.42578125" style="1061"/>
  </cols>
  <sheetData>
    <row r="1" spans="1:11" ht="125.1" customHeight="1" x14ac:dyDescent="0.25">
      <c r="A1" s="2040"/>
      <c r="B1" s="2040"/>
      <c r="C1" s="2040"/>
      <c r="D1" s="2040"/>
      <c r="E1" s="2040"/>
      <c r="F1" s="2040"/>
      <c r="G1" s="2040"/>
      <c r="H1" s="2040"/>
      <c r="I1" s="2040"/>
      <c r="J1" s="2040"/>
      <c r="K1" s="2040"/>
    </row>
    <row r="2" spans="1:11" ht="35.1" customHeight="1" x14ac:dyDescent="0.25">
      <c r="A2" s="1271"/>
      <c r="B2" s="1271"/>
      <c r="C2" s="1271"/>
      <c r="D2" s="1271"/>
      <c r="E2" s="1271"/>
      <c r="F2" s="1271"/>
      <c r="G2" s="1271"/>
      <c r="H2" s="1271"/>
      <c r="I2" s="1271"/>
      <c r="J2" s="1271"/>
      <c r="K2" s="1271"/>
    </row>
    <row r="3" spans="1:11" ht="35.1" customHeight="1" x14ac:dyDescent="0.25">
      <c r="A3" s="1271"/>
      <c r="B3" s="1271"/>
      <c r="C3" s="1271"/>
      <c r="D3" s="1271"/>
      <c r="E3" s="1271"/>
      <c r="F3" s="1271"/>
      <c r="G3" s="1271"/>
      <c r="H3" s="1062"/>
      <c r="I3" s="1225" t="s">
        <v>300</v>
      </c>
      <c r="J3" s="2018">
        <f>'DATOS %'!N15</f>
        <v>0</v>
      </c>
      <c r="K3" s="2018"/>
    </row>
    <row r="4" spans="1:11" ht="26.1" customHeight="1" x14ac:dyDescent="0.25">
      <c r="A4" s="2025" t="s">
        <v>42</v>
      </c>
      <c r="B4" s="2025"/>
      <c r="C4" s="2025"/>
      <c r="D4" s="2025"/>
      <c r="E4" s="1064"/>
      <c r="F4" s="1065"/>
    </row>
    <row r="5" spans="1:11" ht="18" customHeight="1" x14ac:dyDescent="0.25">
      <c r="A5" s="1066"/>
      <c r="B5" s="1066"/>
      <c r="C5" s="1066"/>
      <c r="D5" s="1065"/>
      <c r="E5" s="1065"/>
      <c r="F5" s="1065"/>
    </row>
    <row r="6" spans="1:11" ht="26.1" customHeight="1" x14ac:dyDescent="0.25">
      <c r="A6" s="1965" t="s">
        <v>408</v>
      </c>
      <c r="B6" s="1965"/>
      <c r="C6" s="1270"/>
      <c r="D6" s="2037">
        <f>'DATOS %'!K8</f>
        <v>0</v>
      </c>
      <c r="E6" s="2037"/>
      <c r="F6" s="2037"/>
      <c r="G6" s="2037"/>
      <c r="H6" s="2037"/>
      <c r="I6" s="2037"/>
      <c r="J6" s="2037"/>
      <c r="K6" s="2037"/>
    </row>
    <row r="7" spans="1:11" ht="26.1" customHeight="1" x14ac:dyDescent="0.25">
      <c r="A7" s="2036" t="s">
        <v>409</v>
      </c>
      <c r="B7" s="2036"/>
      <c r="C7" s="1272"/>
      <c r="D7" s="2037">
        <f>'DATOS %'!L8</f>
        <v>0</v>
      </c>
      <c r="E7" s="2037"/>
      <c r="F7" s="2037"/>
      <c r="G7" s="2037"/>
      <c r="H7" s="2037"/>
      <c r="I7" s="2037"/>
      <c r="J7" s="2037"/>
      <c r="K7" s="2037"/>
    </row>
    <row r="8" spans="1:11" ht="26.1" customHeight="1" x14ac:dyDescent="0.25">
      <c r="A8" s="2036" t="s">
        <v>432</v>
      </c>
      <c r="B8" s="2036"/>
      <c r="C8" s="1272"/>
      <c r="D8" s="2037">
        <f>'DATOS %'!M8</f>
        <v>0</v>
      </c>
      <c r="E8" s="2037"/>
      <c r="F8" s="2037"/>
      <c r="G8" s="2037"/>
      <c r="H8" s="2037"/>
      <c r="I8" s="2037"/>
      <c r="J8" s="2037"/>
      <c r="K8" s="2037"/>
    </row>
    <row r="9" spans="1:11" ht="26.1" customHeight="1" x14ac:dyDescent="0.25">
      <c r="A9" s="1269"/>
      <c r="B9" s="1269"/>
      <c r="C9" s="1066"/>
      <c r="D9" s="1065"/>
      <c r="E9" s="1065"/>
      <c r="F9" s="1065"/>
      <c r="G9" s="1065"/>
    </row>
    <row r="10" spans="1:11" ht="26.1" customHeight="1" x14ac:dyDescent="0.25">
      <c r="A10" s="1965" t="s">
        <v>410</v>
      </c>
      <c r="B10" s="1965"/>
      <c r="C10" s="1965"/>
      <c r="D10" s="1965"/>
      <c r="E10" s="2038" t="e">
        <f>'RT03-F11 %'!D3</f>
        <v>#N/A</v>
      </c>
      <c r="F10" s="2038"/>
      <c r="H10" s="2039" t="s">
        <v>411</v>
      </c>
      <c r="I10" s="2039"/>
      <c r="J10" s="2038">
        <f>'DATOS %'!I8</f>
        <v>0</v>
      </c>
      <c r="K10" s="2038"/>
    </row>
    <row r="11" spans="1:11" ht="26.1" customHeight="1" x14ac:dyDescent="0.25">
      <c r="A11" s="2032"/>
      <c r="B11" s="2032"/>
      <c r="C11" s="1067"/>
      <c r="D11" s="2032"/>
      <c r="E11" s="2032"/>
      <c r="F11" s="2032"/>
      <c r="I11" s="1068"/>
      <c r="J11" s="1068"/>
      <c r="K11" s="1068"/>
    </row>
    <row r="12" spans="1:11" ht="26.1" customHeight="1" x14ac:dyDescent="0.25">
      <c r="A12" s="2025" t="s">
        <v>45</v>
      </c>
      <c r="B12" s="2025"/>
      <c r="C12" s="2025"/>
      <c r="D12" s="2025"/>
      <c r="E12" s="2025"/>
      <c r="F12" s="2025"/>
      <c r="G12" s="2025"/>
      <c r="H12" s="2025"/>
      <c r="I12" s="2025"/>
      <c r="J12" s="2025"/>
      <c r="K12" s="1068"/>
    </row>
    <row r="13" spans="1:11" ht="18" customHeight="1" x14ac:dyDescent="0.25">
      <c r="A13" s="1270"/>
      <c r="B13" s="1270"/>
      <c r="C13" s="1270"/>
      <c r="D13" s="1270"/>
      <c r="E13" s="1270"/>
      <c r="F13" s="1069"/>
      <c r="G13" s="1070"/>
      <c r="H13" s="1070"/>
      <c r="I13" s="1071"/>
      <c r="J13" s="1071"/>
      <c r="K13" s="1068"/>
    </row>
    <row r="14" spans="1:11" ht="26.1" customHeight="1" x14ac:dyDescent="0.25">
      <c r="A14" s="1965" t="s">
        <v>24</v>
      </c>
      <c r="B14" s="1965"/>
      <c r="C14" s="1965"/>
      <c r="D14" s="1965"/>
      <c r="E14" s="2029" t="s">
        <v>404</v>
      </c>
      <c r="F14" s="2029"/>
      <c r="G14" s="2029"/>
      <c r="H14" s="2029"/>
      <c r="I14" s="1071"/>
      <c r="J14" s="1071"/>
      <c r="K14" s="1068"/>
    </row>
    <row r="15" spans="1:11" ht="26.1" customHeight="1" x14ac:dyDescent="0.25">
      <c r="A15" s="1965" t="s">
        <v>342</v>
      </c>
      <c r="B15" s="1965"/>
      <c r="C15" s="1965"/>
      <c r="D15" s="1965"/>
      <c r="E15" s="2034">
        <f>'DATOS %'!C15</f>
        <v>0</v>
      </c>
      <c r="F15" s="2034"/>
      <c r="G15" s="2034"/>
      <c r="H15" s="2034"/>
      <c r="I15" s="1268"/>
      <c r="J15" s="1071"/>
      <c r="K15" s="1068"/>
    </row>
    <row r="16" spans="1:11" ht="26.1" customHeight="1" x14ac:dyDescent="0.25">
      <c r="A16" s="1965" t="s">
        <v>341</v>
      </c>
      <c r="B16" s="1965"/>
      <c r="C16" s="1965"/>
      <c r="D16" s="1965"/>
      <c r="E16" s="2034">
        <f>'DATOS %'!E15</f>
        <v>0</v>
      </c>
      <c r="F16" s="2034"/>
      <c r="G16" s="2034"/>
      <c r="H16" s="2034"/>
      <c r="I16" s="1268"/>
      <c r="J16" s="1071"/>
      <c r="K16" s="1068"/>
    </row>
    <row r="17" spans="1:25" ht="26.1" customHeight="1" x14ac:dyDescent="0.25">
      <c r="A17" s="2028" t="s">
        <v>314</v>
      </c>
      <c r="B17" s="2028"/>
      <c r="C17" s="2028"/>
      <c r="D17" s="2028"/>
      <c r="E17" s="2035">
        <f>'DATOS %'!D15</f>
        <v>0</v>
      </c>
      <c r="F17" s="2035"/>
      <c r="G17" s="2035"/>
      <c r="H17" s="2035"/>
      <c r="I17" s="1268"/>
      <c r="J17" s="1071"/>
      <c r="K17" s="1068"/>
    </row>
    <row r="18" spans="1:25" ht="26.1" customHeight="1" x14ac:dyDescent="0.25">
      <c r="A18" s="2028" t="s">
        <v>33</v>
      </c>
      <c r="B18" s="2028"/>
      <c r="C18" s="2028"/>
      <c r="D18" s="2028"/>
      <c r="E18" s="2029" t="s">
        <v>389</v>
      </c>
      <c r="F18" s="2029"/>
      <c r="G18" s="2029"/>
      <c r="H18" s="2029"/>
      <c r="I18" s="1268"/>
      <c r="J18" s="1071"/>
      <c r="K18" s="1068"/>
    </row>
    <row r="19" spans="1:25" ht="26.1" customHeight="1" x14ac:dyDescent="0.25">
      <c r="A19" s="2028" t="s">
        <v>343</v>
      </c>
      <c r="B19" s="2028"/>
      <c r="C19" s="2028"/>
      <c r="D19" s="2028"/>
      <c r="E19" s="2029" t="s">
        <v>328</v>
      </c>
      <c r="F19" s="2029"/>
      <c r="G19" s="2029"/>
      <c r="H19" s="2029"/>
      <c r="I19" s="1268"/>
      <c r="J19" s="1070"/>
    </row>
    <row r="20" spans="1:25" ht="26.1" customHeight="1" x14ac:dyDescent="0.25">
      <c r="A20" s="2028" t="s">
        <v>344</v>
      </c>
      <c r="B20" s="2028"/>
      <c r="C20" s="2028"/>
      <c r="D20" s="2028"/>
      <c r="E20" s="2029" t="s">
        <v>328</v>
      </c>
      <c r="F20" s="2029"/>
      <c r="G20" s="2029"/>
      <c r="H20" s="2029"/>
      <c r="I20" s="1268"/>
      <c r="J20" s="1070"/>
    </row>
    <row r="21" spans="1:25" ht="26.1" customHeight="1" x14ac:dyDescent="0.25">
      <c r="A21" s="2028" t="s">
        <v>340</v>
      </c>
      <c r="B21" s="2028"/>
      <c r="C21" s="2028"/>
      <c r="D21" s="2028"/>
      <c r="E21" s="1377" t="str">
        <f>'DATOS %'!G15</f>
        <v>5 gal</v>
      </c>
      <c r="F21" s="1378"/>
      <c r="G21" s="1378"/>
      <c r="H21" s="1378"/>
      <c r="I21" s="1268"/>
      <c r="J21" s="1070"/>
      <c r="S21" s="2032"/>
      <c r="T21" s="2032"/>
      <c r="U21" s="2032"/>
      <c r="V21" s="2032"/>
      <c r="W21" s="2032"/>
    </row>
    <row r="22" spans="1:25" ht="26.1" customHeight="1" x14ac:dyDescent="0.25">
      <c r="A22" s="2028" t="s">
        <v>230</v>
      </c>
      <c r="B22" s="2028"/>
      <c r="C22" s="2028"/>
      <c r="D22" s="2028"/>
      <c r="E22" s="1379">
        <f>'DATOS %'!H14</f>
        <v>0</v>
      </c>
      <c r="F22" s="1380" t="e">
        <f>'DATOS %'!H15</f>
        <v>#N/A</v>
      </c>
      <c r="G22" s="1073"/>
      <c r="H22" s="1073"/>
      <c r="I22" s="1268"/>
      <c r="J22" s="1070"/>
      <c r="M22" s="1074"/>
      <c r="N22" s="1074"/>
      <c r="O22" s="1074"/>
      <c r="P22" s="1074"/>
      <c r="Q22" s="1074"/>
      <c r="R22" s="1074"/>
      <c r="S22" s="1074"/>
      <c r="T22" s="1074"/>
      <c r="U22" s="1074"/>
      <c r="V22" s="1074"/>
    </row>
    <row r="23" spans="1:25" ht="26.1" customHeight="1" x14ac:dyDescent="0.25">
      <c r="A23" s="2028" t="s">
        <v>313</v>
      </c>
      <c r="B23" s="2028"/>
      <c r="C23" s="2028"/>
      <c r="D23" s="2028"/>
      <c r="E23" s="2029" t="s">
        <v>345</v>
      </c>
      <c r="F23" s="2029"/>
      <c r="G23" s="2029"/>
      <c r="H23" s="2029"/>
      <c r="I23" s="1268"/>
      <c r="J23" s="1075"/>
      <c r="S23" s="2030"/>
      <c r="T23" s="2031"/>
      <c r="U23" s="2031"/>
      <c r="W23" s="2032"/>
      <c r="X23" s="2032"/>
      <c r="Y23" s="2032"/>
    </row>
    <row r="24" spans="1:25" ht="26.1" customHeight="1" x14ac:dyDescent="0.25">
      <c r="A24" s="2032"/>
      <c r="B24" s="2032"/>
      <c r="C24" s="2032"/>
      <c r="D24" s="2032"/>
      <c r="E24" s="2033"/>
      <c r="F24" s="2033"/>
      <c r="G24" s="2033"/>
      <c r="H24" s="2033"/>
      <c r="I24" s="1273"/>
    </row>
    <row r="25" spans="1:25" ht="23.1" customHeight="1" x14ac:dyDescent="0.25">
      <c r="A25" s="2025" t="s">
        <v>146</v>
      </c>
      <c r="B25" s="2025"/>
      <c r="C25" s="2025"/>
      <c r="D25" s="2025"/>
      <c r="E25" s="2025"/>
      <c r="F25" s="2025"/>
      <c r="G25" s="2025"/>
      <c r="H25" s="2025"/>
      <c r="I25" s="2025"/>
      <c r="J25" s="2025"/>
      <c r="K25" s="2025"/>
    </row>
    <row r="26" spans="1:25" ht="18" customHeight="1" x14ac:dyDescent="0.25">
      <c r="A26" s="1070"/>
      <c r="B26" s="1070"/>
      <c r="C26" s="1070"/>
      <c r="D26" s="1070"/>
      <c r="E26" s="1070"/>
      <c r="F26" s="1070"/>
      <c r="G26" s="1070"/>
      <c r="H26" s="1070"/>
      <c r="I26" s="1070"/>
      <c r="J26" s="1070"/>
      <c r="K26" s="1070"/>
    </row>
    <row r="27" spans="1:25" ht="23.1" customHeight="1" x14ac:dyDescent="0.25">
      <c r="A27" s="2026" t="str">
        <f>'DATOS %'!G8</f>
        <v>Laboratorio de calibración de masa y volumen, avenida carrera  50 # 26-55 Int 2,  piso 5.</v>
      </c>
      <c r="B27" s="2026"/>
      <c r="C27" s="2026"/>
      <c r="D27" s="2026"/>
      <c r="E27" s="2026"/>
      <c r="F27" s="2026"/>
      <c r="G27" s="2026"/>
      <c r="H27" s="2026"/>
      <c r="I27" s="2026"/>
      <c r="J27" s="2026"/>
      <c r="K27" s="2026"/>
    </row>
    <row r="28" spans="1:25" ht="26.1" customHeight="1" x14ac:dyDescent="0.25">
      <c r="A28" s="2027"/>
      <c r="B28" s="2027"/>
      <c r="C28" s="2027"/>
      <c r="D28" s="2027"/>
      <c r="E28" s="2027"/>
      <c r="F28" s="2027"/>
      <c r="G28" s="2027"/>
      <c r="H28" s="2027"/>
      <c r="I28" s="2027"/>
      <c r="J28" s="2027"/>
      <c r="K28" s="2027"/>
    </row>
    <row r="29" spans="1:25" ht="23.1" customHeight="1" x14ac:dyDescent="0.25">
      <c r="A29" s="2025" t="s">
        <v>304</v>
      </c>
      <c r="B29" s="2025"/>
      <c r="C29" s="2025"/>
      <c r="D29" s="2025"/>
      <c r="E29" s="2027">
        <f>'DATOS %'!J8</f>
        <v>0</v>
      </c>
      <c r="F29" s="2027"/>
      <c r="G29" s="1073"/>
      <c r="H29" s="1070"/>
      <c r="I29" s="1070"/>
      <c r="J29" s="1070"/>
      <c r="K29" s="1070"/>
    </row>
    <row r="30" spans="1:25" ht="26.1" customHeight="1" x14ac:dyDescent="0.25">
      <c r="A30" s="1070"/>
      <c r="B30" s="1070"/>
      <c r="C30" s="1070"/>
      <c r="D30" s="1070"/>
      <c r="E30" s="1070"/>
      <c r="F30" s="1072"/>
      <c r="G30" s="1072"/>
      <c r="H30" s="1070"/>
      <c r="I30" s="1070"/>
      <c r="J30" s="1070"/>
      <c r="K30" s="1070"/>
    </row>
    <row r="31" spans="1:25" ht="23.1" customHeight="1" x14ac:dyDescent="0.25">
      <c r="A31" s="1996" t="s">
        <v>346</v>
      </c>
      <c r="B31" s="1996"/>
      <c r="C31" s="1996"/>
      <c r="D31" s="1996"/>
      <c r="E31" s="1996"/>
      <c r="F31" s="1996"/>
      <c r="G31" s="1996"/>
      <c r="H31" s="1996"/>
      <c r="I31" s="1280"/>
      <c r="J31" s="1076"/>
      <c r="K31" s="1070"/>
    </row>
    <row r="32" spans="1:25" ht="18" customHeight="1" x14ac:dyDescent="0.25">
      <c r="A32" s="1268"/>
      <c r="B32" s="1268"/>
      <c r="C32" s="1268"/>
      <c r="D32" s="1268"/>
      <c r="E32" s="1268"/>
      <c r="F32" s="1268"/>
      <c r="G32" s="1268"/>
      <c r="H32" s="1268"/>
      <c r="I32" s="1268"/>
      <c r="J32" s="1070"/>
      <c r="K32" s="1070"/>
    </row>
    <row r="33" spans="1:11" ht="20.100000000000001" customHeight="1" x14ac:dyDescent="0.25">
      <c r="A33" s="2023" t="s">
        <v>532</v>
      </c>
      <c r="B33" s="2023"/>
      <c r="C33" s="2023"/>
      <c r="D33" s="2023"/>
      <c r="E33" s="2023"/>
      <c r="F33" s="2023"/>
      <c r="G33" s="2023"/>
      <c r="H33" s="2023"/>
      <c r="I33" s="2023"/>
      <c r="J33" s="2023"/>
      <c r="K33" s="2023"/>
    </row>
    <row r="34" spans="1:11" ht="20.100000000000001" customHeight="1" x14ac:dyDescent="0.25">
      <c r="A34" s="2023"/>
      <c r="B34" s="2023"/>
      <c r="C34" s="2023"/>
      <c r="D34" s="2023"/>
      <c r="E34" s="2023"/>
      <c r="F34" s="2023"/>
      <c r="G34" s="2023"/>
      <c r="H34" s="2023"/>
      <c r="I34" s="2023"/>
      <c r="J34" s="2023"/>
      <c r="K34" s="2023"/>
    </row>
    <row r="35" spans="1:11" ht="18" customHeight="1" x14ac:dyDescent="0.25">
      <c r="A35" s="1077"/>
      <c r="B35" s="1077"/>
      <c r="C35" s="1077"/>
      <c r="D35" s="1077"/>
      <c r="E35" s="1077"/>
      <c r="F35" s="1077"/>
      <c r="G35" s="1077"/>
      <c r="H35" s="1077"/>
      <c r="I35" s="1077"/>
      <c r="J35" s="1077"/>
      <c r="K35" s="1077"/>
    </row>
    <row r="36" spans="1:11" ht="125.1" customHeight="1" x14ac:dyDescent="0.25">
      <c r="A36" s="1077"/>
      <c r="B36" s="1077"/>
      <c r="C36" s="1077"/>
      <c r="D36" s="1077"/>
      <c r="E36" s="1077"/>
      <c r="F36" s="1077"/>
      <c r="G36" s="1077"/>
      <c r="H36" s="1077"/>
      <c r="I36" s="1077"/>
      <c r="J36" s="1077"/>
      <c r="K36" s="1077"/>
    </row>
    <row r="37" spans="1:11" ht="35.1" customHeight="1" x14ac:dyDescent="0.25">
      <c r="A37" s="1077"/>
      <c r="B37" s="1077"/>
      <c r="C37" s="1077"/>
      <c r="D37" s="1077"/>
      <c r="E37" s="1077"/>
      <c r="F37" s="1077"/>
      <c r="G37" s="1077"/>
      <c r="H37" s="1077"/>
      <c r="I37" s="1077"/>
      <c r="J37" s="1077"/>
      <c r="K37" s="1077"/>
    </row>
    <row r="38" spans="1:11" ht="35.1" customHeight="1" x14ac:dyDescent="0.25">
      <c r="A38" s="1078"/>
      <c r="B38" s="1078"/>
      <c r="C38" s="1078"/>
      <c r="D38" s="1078"/>
      <c r="E38" s="1078"/>
      <c r="F38" s="1078"/>
      <c r="G38" s="1078"/>
      <c r="H38" s="1062"/>
      <c r="I38" s="1160" t="s">
        <v>300</v>
      </c>
      <c r="J38" s="2018">
        <f>J3</f>
        <v>0</v>
      </c>
      <c r="K38" s="2018"/>
    </row>
    <row r="39" spans="1:11" ht="24.95" customHeight="1" x14ac:dyDescent="0.25">
      <c r="A39" s="1078"/>
      <c r="B39" s="1078"/>
      <c r="C39" s="1078"/>
      <c r="D39" s="1078"/>
      <c r="E39" s="1078"/>
      <c r="F39" s="1078"/>
      <c r="G39" s="1078"/>
      <c r="H39" s="1062"/>
      <c r="I39" s="1080"/>
      <c r="J39" s="1080"/>
      <c r="K39" s="1271"/>
    </row>
    <row r="40" spans="1:11" ht="18" customHeight="1" x14ac:dyDescent="0.25">
      <c r="A40" s="1078"/>
      <c r="B40" s="1078"/>
      <c r="C40" s="1078"/>
      <c r="D40" s="1078"/>
      <c r="E40" s="1078"/>
      <c r="F40" s="1078"/>
      <c r="G40" s="1078"/>
      <c r="H40" s="1062"/>
      <c r="I40" s="1080"/>
      <c r="J40" s="1080"/>
      <c r="K40" s="1271"/>
    </row>
    <row r="41" spans="1:11" ht="18" customHeight="1" x14ac:dyDescent="0.25">
      <c r="A41" s="1078"/>
      <c r="B41" s="1078"/>
      <c r="C41" s="1078"/>
      <c r="D41" s="1078"/>
      <c r="E41" s="1078"/>
      <c r="F41" s="1078"/>
      <c r="G41" s="1078"/>
      <c r="H41" s="1062"/>
      <c r="I41" s="1080"/>
      <c r="J41" s="1080"/>
      <c r="K41" s="1271"/>
    </row>
    <row r="42" spans="1:11" ht="15.75" customHeight="1" x14ac:dyDescent="0.25">
      <c r="A42" s="1078"/>
      <c r="B42" s="1078"/>
      <c r="C42" s="1078"/>
      <c r="D42" s="1078"/>
      <c r="E42" s="1078"/>
      <c r="F42" s="1078"/>
      <c r="G42" s="1078"/>
      <c r="H42" s="1062"/>
      <c r="I42" s="1080"/>
      <c r="J42" s="1080"/>
      <c r="K42" s="1271"/>
    </row>
    <row r="43" spans="1:11" s="1083" customFormat="1" ht="23.1" customHeight="1" x14ac:dyDescent="0.2">
      <c r="A43" s="2024" t="s">
        <v>38</v>
      </c>
      <c r="B43" s="2024"/>
      <c r="C43" s="1081"/>
      <c r="D43" s="1081"/>
      <c r="E43" s="1081"/>
      <c r="F43" s="1081"/>
      <c r="G43" s="1081"/>
      <c r="H43" s="1081"/>
      <c r="I43" s="1081"/>
      <c r="J43" s="1082"/>
    </row>
    <row r="44" spans="1:11" s="1083" customFormat="1" ht="24.95" customHeight="1" x14ac:dyDescent="0.2">
      <c r="A44" s="1084"/>
      <c r="B44" s="1081"/>
      <c r="C44" s="1081"/>
      <c r="D44" s="1081"/>
      <c r="E44" s="1081"/>
      <c r="F44" s="1081"/>
      <c r="G44" s="1081"/>
      <c r="H44" s="1081"/>
      <c r="I44" s="1081"/>
      <c r="J44" s="1082"/>
    </row>
    <row r="45" spans="1:11" s="1083" customFormat="1" ht="24.95" customHeight="1" x14ac:dyDescent="0.2">
      <c r="A45" s="1081"/>
      <c r="B45" s="1085"/>
      <c r="C45" s="2020" t="s">
        <v>37</v>
      </c>
      <c r="D45" s="2020"/>
      <c r="E45" s="2020"/>
      <c r="F45" s="2020"/>
      <c r="G45" s="2020"/>
      <c r="H45" s="2020"/>
      <c r="I45" s="2020"/>
      <c r="J45" s="2020"/>
      <c r="K45" s="2020"/>
    </row>
    <row r="46" spans="1:11" s="1083" customFormat="1" ht="12.95" customHeight="1" x14ac:dyDescent="0.2">
      <c r="A46" s="1086"/>
      <c r="B46" s="1086"/>
      <c r="C46" s="1087"/>
      <c r="D46" s="1087"/>
      <c r="E46" s="1087"/>
      <c r="F46" s="1087"/>
      <c r="G46" s="1088"/>
      <c r="H46" s="1089"/>
      <c r="I46" s="1090"/>
      <c r="J46" s="1090"/>
      <c r="K46" s="1088"/>
    </row>
    <row r="47" spans="1:11" s="1083" customFormat="1" ht="15.95" customHeight="1" x14ac:dyDescent="0.2">
      <c r="A47" s="1081"/>
      <c r="B47" s="1091"/>
      <c r="C47" s="2019" t="s">
        <v>301</v>
      </c>
      <c r="D47" s="2019"/>
      <c r="E47" s="2019"/>
      <c r="F47" s="2019"/>
      <c r="G47" s="2019"/>
      <c r="H47" s="2019"/>
      <c r="I47" s="2019"/>
      <c r="J47" s="2019"/>
      <c r="K47" s="2019"/>
    </row>
    <row r="48" spans="1:11" s="1083" customFormat="1" ht="15.95" customHeight="1" x14ac:dyDescent="0.2">
      <c r="A48" s="1081"/>
      <c r="B48" s="1091"/>
      <c r="C48" s="2019"/>
      <c r="D48" s="2019"/>
      <c r="E48" s="2019"/>
      <c r="F48" s="2019"/>
      <c r="G48" s="2019"/>
      <c r="H48" s="2019"/>
      <c r="I48" s="2019"/>
      <c r="J48" s="2019"/>
      <c r="K48" s="2019"/>
    </row>
    <row r="49" spans="1:11" s="1083" customFormat="1" ht="12.95" customHeight="1" x14ac:dyDescent="0.2">
      <c r="A49" s="1081"/>
      <c r="B49" s="1091"/>
      <c r="C49" s="1265"/>
      <c r="D49" s="1265"/>
      <c r="E49" s="1265"/>
      <c r="F49" s="1265"/>
      <c r="G49" s="1265"/>
      <c r="H49" s="1265"/>
      <c r="I49" s="1265"/>
      <c r="J49" s="1265"/>
      <c r="K49" s="1265"/>
    </row>
    <row r="50" spans="1:11" s="1083" customFormat="1" ht="24.95" customHeight="1" x14ac:dyDescent="0.2">
      <c r="A50" s="1081"/>
      <c r="B50" s="1081"/>
      <c r="C50" s="2020" t="s">
        <v>46</v>
      </c>
      <c r="D50" s="2020"/>
      <c r="E50" s="2020"/>
      <c r="F50" s="2020"/>
      <c r="G50" s="2020"/>
      <c r="H50" s="2020"/>
      <c r="I50" s="2020"/>
      <c r="J50" s="2020"/>
      <c r="K50" s="2020"/>
    </row>
    <row r="51" spans="1:11" s="1083" customFormat="1" ht="12.95" customHeight="1" x14ac:dyDescent="0.2">
      <c r="A51" s="1081"/>
      <c r="B51" s="1081"/>
      <c r="C51" s="1265"/>
      <c r="D51" s="1265"/>
      <c r="E51" s="1265"/>
      <c r="F51" s="1265"/>
      <c r="G51" s="1265"/>
      <c r="H51" s="1265"/>
      <c r="I51" s="1265"/>
      <c r="J51" s="1265"/>
      <c r="K51" s="1265"/>
    </row>
    <row r="52" spans="1:11" s="1083" customFormat="1" ht="24.95" customHeight="1" x14ac:dyDescent="0.2">
      <c r="A52" s="1081"/>
      <c r="B52" s="1081"/>
      <c r="C52" s="2019" t="s">
        <v>302</v>
      </c>
      <c r="D52" s="2019"/>
      <c r="E52" s="2019"/>
      <c r="F52" s="2019"/>
      <c r="G52" s="2019"/>
      <c r="H52" s="2019"/>
      <c r="I52" s="2019"/>
      <c r="J52" s="2019"/>
      <c r="K52" s="2019"/>
    </row>
    <row r="53" spans="1:11" s="1083" customFormat="1" ht="12.95" customHeight="1" x14ac:dyDescent="0.2">
      <c r="A53" s="1081"/>
      <c r="B53" s="1081"/>
      <c r="C53" s="1265"/>
      <c r="D53" s="1265"/>
      <c r="E53" s="1265"/>
      <c r="F53" s="1265"/>
      <c r="G53" s="1265"/>
      <c r="H53" s="1265"/>
      <c r="I53" s="1265"/>
      <c r="J53" s="1265"/>
      <c r="K53" s="1265"/>
    </row>
    <row r="54" spans="1:11" s="1083" customFormat="1" ht="24.95" customHeight="1" x14ac:dyDescent="0.2">
      <c r="A54" s="1081"/>
      <c r="B54" s="1081"/>
      <c r="C54" s="2019" t="s">
        <v>47</v>
      </c>
      <c r="D54" s="2019"/>
      <c r="E54" s="2019"/>
      <c r="F54" s="2019"/>
      <c r="G54" s="2019"/>
      <c r="H54" s="2019"/>
      <c r="I54" s="2019"/>
      <c r="J54" s="2019"/>
      <c r="K54" s="2019"/>
    </row>
    <row r="55" spans="1:11" s="1083" customFormat="1" ht="12.95" customHeight="1" x14ac:dyDescent="0.2">
      <c r="A55" s="1081"/>
      <c r="B55" s="1081"/>
      <c r="C55" s="2019"/>
      <c r="D55" s="2019"/>
      <c r="E55" s="2019"/>
      <c r="F55" s="2019"/>
      <c r="G55" s="2019"/>
      <c r="H55" s="2019"/>
      <c r="I55" s="2019"/>
      <c r="J55" s="2019"/>
      <c r="K55" s="1265"/>
    </row>
    <row r="56" spans="1:11" s="1083" customFormat="1" ht="24.95" customHeight="1" x14ac:dyDescent="0.2">
      <c r="A56" s="1081"/>
      <c r="B56" s="1083" t="s">
        <v>12</v>
      </c>
      <c r="C56" s="2019" t="s">
        <v>48</v>
      </c>
      <c r="D56" s="2019"/>
      <c r="E56" s="2019"/>
      <c r="F56" s="2019"/>
      <c r="G56" s="2019"/>
      <c r="H56" s="2019"/>
      <c r="I56" s="2019"/>
      <c r="J56" s="2019"/>
      <c r="K56" s="2019"/>
    </row>
    <row r="57" spans="1:11" s="1083" customFormat="1" ht="12.95" customHeight="1" x14ac:dyDescent="0.2">
      <c r="A57" s="1081"/>
      <c r="C57" s="2019"/>
      <c r="D57" s="2019"/>
      <c r="E57" s="2019"/>
      <c r="F57" s="2019"/>
      <c r="G57" s="2019"/>
      <c r="H57" s="2019"/>
      <c r="I57" s="2019"/>
      <c r="J57" s="2019"/>
      <c r="K57" s="1265"/>
    </row>
    <row r="58" spans="1:11" s="1083" customFormat="1" ht="24.95" customHeight="1" x14ac:dyDescent="0.2">
      <c r="A58" s="1081"/>
      <c r="B58" s="1081"/>
      <c r="C58" s="2019" t="s">
        <v>49</v>
      </c>
      <c r="D58" s="2019"/>
      <c r="E58" s="2019"/>
      <c r="F58" s="2019"/>
      <c r="G58" s="2019"/>
      <c r="H58" s="2019"/>
      <c r="I58" s="2019"/>
      <c r="J58" s="2019"/>
      <c r="K58" s="2019"/>
    </row>
    <row r="59" spans="1:11" s="1083" customFormat="1" ht="12.95" customHeight="1" x14ac:dyDescent="0.2">
      <c r="A59" s="1081"/>
      <c r="B59" s="1081"/>
      <c r="C59" s="2019"/>
      <c r="D59" s="2019"/>
      <c r="E59" s="2019"/>
      <c r="F59" s="2019"/>
      <c r="G59" s="2019"/>
      <c r="H59" s="2019"/>
      <c r="I59" s="2019"/>
      <c r="J59" s="2019"/>
      <c r="K59" s="1265"/>
    </row>
    <row r="60" spans="1:11" s="1083" customFormat="1" ht="24.95" customHeight="1" x14ac:dyDescent="0.2">
      <c r="A60" s="1081"/>
      <c r="B60" s="1081"/>
      <c r="C60" s="2019" t="s">
        <v>534</v>
      </c>
      <c r="D60" s="2019"/>
      <c r="E60" s="2019"/>
      <c r="F60" s="2019"/>
      <c r="G60" s="2019"/>
      <c r="H60" s="2019"/>
      <c r="I60" s="2019"/>
      <c r="J60" s="2019"/>
      <c r="K60" s="2019"/>
    </row>
    <row r="61" spans="1:11" s="1083" customFormat="1" ht="12.95" customHeight="1" x14ac:dyDescent="0.2">
      <c r="A61" s="1081"/>
      <c r="B61" s="1081"/>
      <c r="C61" s="2019"/>
      <c r="D61" s="2019"/>
      <c r="E61" s="2019"/>
      <c r="F61" s="2019"/>
      <c r="G61" s="2019"/>
      <c r="H61" s="2019"/>
      <c r="I61" s="2019"/>
      <c r="J61" s="2019"/>
      <c r="K61" s="1265"/>
    </row>
    <row r="62" spans="1:11" s="1083" customFormat="1" ht="24.95" customHeight="1" x14ac:dyDescent="0.2">
      <c r="A62" s="1081"/>
      <c r="B62" s="1081"/>
      <c r="C62" s="2022" t="s">
        <v>584</v>
      </c>
      <c r="D62" s="2022"/>
      <c r="E62" s="2022"/>
      <c r="F62" s="2022"/>
      <c r="G62" s="1372">
        <f>'DATOS %'!F15</f>
        <v>15.56</v>
      </c>
      <c r="H62" s="1092"/>
      <c r="I62" s="1092"/>
      <c r="J62" s="1092"/>
      <c r="K62" s="1092"/>
    </row>
    <row r="63" spans="1:11" s="1083" customFormat="1" ht="12.95" customHeight="1" x14ac:dyDescent="0.2">
      <c r="A63" s="1081"/>
      <c r="B63" s="1081"/>
      <c r="C63" s="2019"/>
      <c r="D63" s="2019"/>
      <c r="E63" s="2019"/>
      <c r="F63" s="2019"/>
      <c r="G63" s="2019"/>
      <c r="H63" s="2019"/>
      <c r="I63" s="2019"/>
      <c r="J63" s="2019"/>
      <c r="K63" s="1265"/>
    </row>
    <row r="64" spans="1:11" s="1083" customFormat="1" ht="24.95" customHeight="1" x14ac:dyDescent="0.2">
      <c r="A64" s="1081"/>
      <c r="B64" s="1081"/>
      <c r="C64" s="2019" t="s">
        <v>412</v>
      </c>
      <c r="D64" s="2019"/>
      <c r="E64" s="2019"/>
      <c r="F64" s="2019"/>
      <c r="G64" s="2019"/>
      <c r="H64" s="2019"/>
      <c r="I64" s="2019"/>
      <c r="J64" s="2019"/>
      <c r="K64" s="1265"/>
    </row>
    <row r="65" spans="1:12" s="1083" customFormat="1" ht="12.95" customHeight="1" x14ac:dyDescent="0.25">
      <c r="A65" s="1081"/>
      <c r="B65" s="1081"/>
      <c r="C65" s="2019"/>
      <c r="D65" s="2019"/>
      <c r="E65" s="2019"/>
      <c r="F65" s="2019"/>
      <c r="G65" s="2019"/>
      <c r="H65" s="2019"/>
      <c r="I65" s="2019"/>
      <c r="J65" s="2019"/>
      <c r="K65" s="1265"/>
      <c r="L65" s="1061"/>
    </row>
    <row r="66" spans="1:12" s="1083" customFormat="1" ht="24.95" customHeight="1" x14ac:dyDescent="0.25">
      <c r="A66" s="1081"/>
      <c r="B66" s="1081"/>
      <c r="C66" s="2020" t="s">
        <v>413</v>
      </c>
      <c r="D66" s="2020"/>
      <c r="E66" s="2020"/>
      <c r="F66" s="2020"/>
      <c r="G66" s="2020"/>
      <c r="H66" s="2020"/>
      <c r="I66" s="1265"/>
      <c r="J66" s="1265"/>
      <c r="K66" s="1265"/>
      <c r="L66" s="1061"/>
    </row>
    <row r="67" spans="1:12" s="1083" customFormat="1" ht="12.95" customHeight="1" x14ac:dyDescent="0.25">
      <c r="A67" s="1081"/>
      <c r="B67" s="1081"/>
      <c r="C67" s="1265"/>
      <c r="D67" s="1265"/>
      <c r="E67" s="1265"/>
      <c r="F67" s="1265"/>
      <c r="G67" s="1265"/>
      <c r="H67" s="1265"/>
      <c r="I67" s="1265"/>
      <c r="J67" s="1265"/>
      <c r="K67" s="1265"/>
      <c r="L67" s="1061"/>
    </row>
    <row r="68" spans="1:12" s="1083" customFormat="1" ht="24.95" customHeight="1" x14ac:dyDescent="0.25">
      <c r="A68" s="1081"/>
      <c r="B68" s="1081"/>
      <c r="C68" s="2020" t="s">
        <v>414</v>
      </c>
      <c r="D68" s="2020"/>
      <c r="E68" s="2020"/>
      <c r="F68" s="2020"/>
      <c r="G68" s="2020"/>
      <c r="H68" s="2020"/>
      <c r="I68" s="1265"/>
      <c r="J68" s="1265"/>
      <c r="K68" s="1265"/>
      <c r="L68" s="1061"/>
    </row>
    <row r="69" spans="1:12" s="1083" customFormat="1" ht="12.95" customHeight="1" x14ac:dyDescent="0.25">
      <c r="A69" s="1081"/>
      <c r="B69" s="1081"/>
      <c r="C69" s="1082"/>
      <c r="D69" s="1082"/>
      <c r="E69" s="1082"/>
      <c r="F69" s="1082"/>
      <c r="G69" s="1082"/>
      <c r="H69" s="1082"/>
      <c r="I69" s="1093"/>
      <c r="J69" s="1093"/>
      <c r="K69" s="1061"/>
      <c r="L69" s="1061"/>
    </row>
    <row r="70" spans="1:12" ht="24.95" customHeight="1" x14ac:dyDescent="0.25">
      <c r="A70" s="1081"/>
      <c r="B70" s="1081"/>
      <c r="C70" s="1082"/>
      <c r="D70" s="1082"/>
      <c r="E70" s="1082"/>
      <c r="F70" s="1082"/>
      <c r="G70" s="1082"/>
      <c r="H70" s="1082"/>
      <c r="I70" s="1093"/>
      <c r="J70" s="1093"/>
    </row>
    <row r="71" spans="1:12" ht="23.1" customHeight="1" x14ac:dyDescent="0.25">
      <c r="A71" s="1996" t="s">
        <v>347</v>
      </c>
      <c r="B71" s="1996"/>
      <c r="C71" s="1996"/>
      <c r="D71" s="1996"/>
      <c r="E71" s="1996"/>
      <c r="F71" s="1273"/>
      <c r="G71" s="1273"/>
    </row>
    <row r="72" spans="1:12" ht="15.95" customHeight="1" x14ac:dyDescent="0.25">
      <c r="A72" s="1094"/>
      <c r="B72" s="1094"/>
      <c r="C72" s="1094"/>
      <c r="D72" s="1094"/>
      <c r="E72" s="1094"/>
      <c r="F72" s="1273"/>
      <c r="G72" s="1273"/>
      <c r="H72" s="1273"/>
      <c r="I72" s="1273"/>
      <c r="J72" s="1095"/>
    </row>
    <row r="73" spans="1:12" ht="20.100000000000001" customHeight="1" x14ac:dyDescent="0.25">
      <c r="A73" s="2021" t="s">
        <v>645</v>
      </c>
      <c r="B73" s="2021"/>
      <c r="C73" s="2021"/>
      <c r="D73" s="2021"/>
      <c r="E73" s="2021"/>
      <c r="F73" s="2021"/>
      <c r="G73" s="2021"/>
      <c r="H73" s="2021"/>
      <c r="I73" s="2021"/>
      <c r="J73" s="2021"/>
      <c r="K73" s="2021"/>
    </row>
    <row r="74" spans="1:12" ht="15" customHeight="1" thickBot="1" x14ac:dyDescent="0.3">
      <c r="A74" s="1289"/>
      <c r="B74" s="1289"/>
      <c r="C74" s="1289"/>
      <c r="D74" s="1289"/>
      <c r="E74" s="1289"/>
      <c r="F74" s="1289"/>
      <c r="G74" s="1289"/>
      <c r="H74" s="1289"/>
      <c r="I74" s="1289"/>
      <c r="J74" s="1289"/>
      <c r="K74" s="1289"/>
    </row>
    <row r="75" spans="1:12" ht="30" customHeight="1" thickBot="1" x14ac:dyDescent="0.3">
      <c r="A75" s="1264"/>
      <c r="B75" s="1264"/>
      <c r="C75" s="1743" t="s">
        <v>620</v>
      </c>
      <c r="D75" s="1745"/>
      <c r="E75" s="1743" t="s">
        <v>621</v>
      </c>
      <c r="F75" s="1745"/>
      <c r="G75" s="1743" t="s">
        <v>635</v>
      </c>
      <c r="H75" s="1745"/>
      <c r="I75" s="1264"/>
      <c r="J75" s="1099"/>
      <c r="K75" s="1098"/>
    </row>
    <row r="76" spans="1:12" ht="30" customHeight="1" thickBot="1" x14ac:dyDescent="0.3">
      <c r="A76" s="1264"/>
      <c r="B76" s="1159"/>
      <c r="C76" s="1295" t="s">
        <v>619</v>
      </c>
      <c r="D76" s="1296" t="s">
        <v>633</v>
      </c>
      <c r="E76" s="1295" t="s">
        <v>619</v>
      </c>
      <c r="F76" s="1296" t="s">
        <v>634</v>
      </c>
      <c r="G76" s="1295" t="s">
        <v>619</v>
      </c>
      <c r="H76" s="1296" t="s">
        <v>634</v>
      </c>
      <c r="I76" s="2016"/>
      <c r="J76" s="2016"/>
      <c r="K76" s="1098"/>
    </row>
    <row r="77" spans="1:12" ht="36" customHeight="1" thickBot="1" x14ac:dyDescent="0.3">
      <c r="A77" s="1290"/>
      <c r="B77" s="1294" t="s">
        <v>601</v>
      </c>
      <c r="C77" s="1291" t="e">
        <f>VLOOKUP($B$77,'DATOS %'!Q26:W28,2,FALSE)</f>
        <v>#N/A</v>
      </c>
      <c r="D77" s="1292" t="e">
        <f>VLOOKUP($B$77,'DATOS %'!Q26:W28,3,FALSE)</f>
        <v>#N/A</v>
      </c>
      <c r="E77" s="1292" t="e">
        <f>VLOOKUP($B$77,'DATOS %'!Q26:W28,4,FALSE)</f>
        <v>#N/A</v>
      </c>
      <c r="F77" s="1292" t="e">
        <f>VLOOKUP($B$77,'DATOS %'!Q26:W28,5,FALSE)</f>
        <v>#N/A</v>
      </c>
      <c r="G77" s="1293" t="e">
        <f>VLOOKUP($B$77,'DATOS %'!Q26:W28,6,FALSE)</f>
        <v>#N/A</v>
      </c>
      <c r="H77" s="1382" t="e">
        <f>VLOOKUP($B$77,'DATOS %'!Q26:W28,7,FALSE)</f>
        <v>#N/A</v>
      </c>
      <c r="I77" s="2017"/>
      <c r="J77" s="2017"/>
      <c r="K77" s="1098"/>
    </row>
    <row r="78" spans="1:12" ht="32.1" customHeight="1" x14ac:dyDescent="0.25">
      <c r="A78" s="1273"/>
    </row>
    <row r="79" spans="1:12" ht="125.1" customHeight="1" x14ac:dyDescent="0.25">
      <c r="A79" s="1273"/>
    </row>
    <row r="80" spans="1:12" ht="35.1" customHeight="1" x14ac:dyDescent="0.25">
      <c r="A80" s="1273"/>
    </row>
    <row r="81" spans="1:12" ht="35.1" customHeight="1" x14ac:dyDescent="0.25">
      <c r="A81" s="1273"/>
      <c r="I81" s="1225" t="s">
        <v>300</v>
      </c>
      <c r="J81" s="2018">
        <f>J3</f>
        <v>0</v>
      </c>
      <c r="K81" s="2018"/>
    </row>
    <row r="82" spans="1:12" ht="24.95" customHeight="1" x14ac:dyDescent="0.25">
      <c r="A82" s="1996" t="s">
        <v>348</v>
      </c>
      <c r="B82" s="1996"/>
      <c r="C82" s="1996"/>
      <c r="D82" s="1996"/>
      <c r="E82" s="1996"/>
      <c r="F82" s="1268"/>
      <c r="G82" s="1268"/>
      <c r="H82" s="1268"/>
      <c r="I82" s="1268"/>
      <c r="J82" s="1096"/>
      <c r="K82" s="1070"/>
    </row>
    <row r="83" spans="1:12" ht="9.9499999999999993" customHeight="1" x14ac:dyDescent="0.25">
      <c r="A83" s="1076"/>
      <c r="B83" s="1268"/>
      <c r="C83" s="1268"/>
      <c r="D83" s="1268"/>
      <c r="E83" s="1268"/>
      <c r="F83" s="1268"/>
      <c r="G83" s="1268"/>
      <c r="H83" s="1268"/>
      <c r="I83" s="1268"/>
      <c r="J83" s="1077"/>
      <c r="K83" s="1070"/>
    </row>
    <row r="84" spans="1:12" ht="17.100000000000001" customHeight="1" x14ac:dyDescent="0.25">
      <c r="A84" s="2005" t="s">
        <v>585</v>
      </c>
      <c r="B84" s="2005"/>
      <c r="C84" s="2005"/>
      <c r="D84" s="2005"/>
      <c r="E84" s="2005"/>
      <c r="F84" s="2005"/>
      <c r="G84" s="2005"/>
      <c r="H84" s="2005"/>
      <c r="I84" s="2005"/>
      <c r="J84" s="2005"/>
      <c r="K84" s="2005"/>
    </row>
    <row r="85" spans="1:12" ht="17.100000000000001" customHeight="1" x14ac:dyDescent="0.25">
      <c r="A85" s="2005"/>
      <c r="B85" s="2005"/>
      <c r="C85" s="2005"/>
      <c r="D85" s="2005"/>
      <c r="E85" s="2005"/>
      <c r="F85" s="2005"/>
      <c r="G85" s="2005"/>
      <c r="H85" s="2005"/>
      <c r="I85" s="2005"/>
      <c r="J85" s="2005"/>
      <c r="K85" s="2005"/>
    </row>
    <row r="86" spans="1:12" ht="15.95" customHeight="1" x14ac:dyDescent="0.25">
      <c r="A86" s="1097"/>
      <c r="B86" s="1097"/>
      <c r="C86" s="1097"/>
      <c r="D86" s="1097"/>
      <c r="E86" s="1097"/>
      <c r="F86" s="1097"/>
      <c r="G86" s="1097"/>
      <c r="H86" s="1097"/>
      <c r="I86" s="1097"/>
      <c r="J86" s="1097"/>
      <c r="K86" s="1098"/>
    </row>
    <row r="87" spans="1:12" s="1100" customFormat="1" ht="24.95" customHeight="1" x14ac:dyDescent="0.3">
      <c r="A87" s="1996" t="s">
        <v>349</v>
      </c>
      <c r="B87" s="1996"/>
      <c r="C87" s="1996"/>
      <c r="D87" s="1996"/>
      <c r="E87" s="1996"/>
      <c r="F87" s="1264"/>
      <c r="G87" s="1264"/>
      <c r="H87" s="1098"/>
      <c r="I87" s="1098"/>
      <c r="J87" s="1099"/>
      <c r="K87" s="1098"/>
    </row>
    <row r="88" spans="1:12" ht="9.9499999999999993" customHeight="1" x14ac:dyDescent="0.25">
      <c r="A88" s="1101"/>
      <c r="B88" s="1101"/>
      <c r="C88" s="1101"/>
      <c r="D88" s="1101"/>
      <c r="E88" s="1101"/>
      <c r="F88" s="1268"/>
      <c r="G88" s="1268"/>
      <c r="H88" s="1070"/>
      <c r="I88" s="1070"/>
      <c r="J88" s="1077"/>
      <c r="K88" s="1070"/>
    </row>
    <row r="89" spans="1:12" ht="42.75" customHeight="1" x14ac:dyDescent="0.25">
      <c r="A89" s="2005" t="s">
        <v>338</v>
      </c>
      <c r="B89" s="2005"/>
      <c r="C89" s="2005"/>
      <c r="D89" s="2005"/>
      <c r="E89" s="2005"/>
      <c r="F89" s="2005"/>
      <c r="G89" s="2005"/>
      <c r="H89" s="2005"/>
      <c r="I89" s="2005"/>
      <c r="J89" s="2005"/>
      <c r="K89" s="2005"/>
    </row>
    <row r="90" spans="1:12" ht="15.95" customHeight="1" thickBot="1" x14ac:dyDescent="0.3">
      <c r="A90" s="1102"/>
      <c r="B90" s="1102"/>
      <c r="C90" s="1102"/>
      <c r="D90" s="1102"/>
      <c r="E90" s="1102"/>
      <c r="F90" s="1102"/>
      <c r="G90" s="1102"/>
      <c r="H90" s="1102"/>
      <c r="I90" s="1102"/>
      <c r="J90" s="1102"/>
    </row>
    <row r="91" spans="1:12" ht="33" customHeight="1" thickBot="1" x14ac:dyDescent="0.3">
      <c r="A91" s="2006" t="s">
        <v>50</v>
      </c>
      <c r="B91" s="2007"/>
      <c r="C91" s="2008"/>
      <c r="D91" s="1266" t="s">
        <v>35</v>
      </c>
      <c r="E91" s="1967" t="s">
        <v>339</v>
      </c>
      <c r="F91" s="1981"/>
      <c r="G91" s="2006" t="s">
        <v>51</v>
      </c>
      <c r="H91" s="2007"/>
      <c r="I91" s="2006" t="s">
        <v>52</v>
      </c>
      <c r="J91" s="2008"/>
      <c r="K91" s="1103"/>
    </row>
    <row r="92" spans="1:12" ht="33" customHeight="1" x14ac:dyDescent="0.25">
      <c r="A92" s="2009" t="s">
        <v>390</v>
      </c>
      <c r="B92" s="2010"/>
      <c r="C92" s="2010"/>
      <c r="D92" s="1362" t="str">
        <f>'DATOS %'!D31</f>
        <v>Serhapin test Measure</v>
      </c>
      <c r="E92" s="2011" t="s">
        <v>415</v>
      </c>
      <c r="F92" s="2012"/>
      <c r="G92" s="2013" t="str">
        <f>'DATOS %'!E31</f>
        <v xml:space="preserve">16-5935702    C-I V-005         </v>
      </c>
      <c r="H92" s="2014"/>
      <c r="I92" s="2013" t="str">
        <f>'DATOS %'!L31</f>
        <v xml:space="preserve">INM 5053 </v>
      </c>
      <c r="J92" s="2015"/>
      <c r="K92" s="1103"/>
    </row>
    <row r="93" spans="1:12" ht="33" customHeight="1" x14ac:dyDescent="0.25">
      <c r="A93" s="1998" t="s">
        <v>323</v>
      </c>
      <c r="B93" s="1999"/>
      <c r="C93" s="1999"/>
      <c r="D93" s="1363" t="str">
        <f>'DATOS %'!D38</f>
        <v xml:space="preserve">Lufft </v>
      </c>
      <c r="E93" s="2000" t="s">
        <v>422</v>
      </c>
      <c r="F93" s="2001"/>
      <c r="G93" s="2002" t="str">
        <f>'DATOS %'!E44</f>
        <v xml:space="preserve">004,0816,1212,006 / pt 347980,002     </v>
      </c>
      <c r="H93" s="2003"/>
      <c r="I93" s="2002" t="str">
        <f>'DATOS %'!L44</f>
        <v>INM 4539</v>
      </c>
      <c r="J93" s="2004"/>
      <c r="K93" s="1103"/>
    </row>
    <row r="94" spans="1:12" ht="33" customHeight="1" x14ac:dyDescent="0.25">
      <c r="A94" s="1998" t="s">
        <v>324</v>
      </c>
      <c r="B94" s="1999"/>
      <c r="C94" s="1999"/>
      <c r="D94" s="1363" t="str">
        <f>'DATOS %'!D44</f>
        <v xml:space="preserve">Lufft </v>
      </c>
      <c r="E94" s="2000" t="s">
        <v>422</v>
      </c>
      <c r="F94" s="2001"/>
      <c r="G94" s="2002" t="str">
        <f>'DATOS %'!E38</f>
        <v xml:space="preserve">22,1014,1212,,005 / pt 347980,004     </v>
      </c>
      <c r="H94" s="2003"/>
      <c r="I94" s="2002" t="str">
        <f>'DATOS %'!L38</f>
        <v>INM 4538</v>
      </c>
      <c r="J94" s="2004"/>
      <c r="K94" s="1103"/>
    </row>
    <row r="95" spans="1:12" ht="33" customHeight="1" thickBot="1" x14ac:dyDescent="0.3">
      <c r="A95" s="1988" t="s">
        <v>28</v>
      </c>
      <c r="B95" s="1989"/>
      <c r="C95" s="1989"/>
      <c r="D95" s="1364" t="e">
        <f>VLOOKUP(K95,'DATOS %'!$C$112:$L$118,2,FALSE)</f>
        <v>#N/A</v>
      </c>
      <c r="E95" s="1990" t="e">
        <f>VLOOKUP(K95,'DATOS %'!$C$112:$M$118,11,FALSE)</f>
        <v>#N/A</v>
      </c>
      <c r="F95" s="1991"/>
      <c r="G95" s="1992" t="e">
        <f>VLOOKUP(K95,'DATOS %'!$C$112:$L$118,3,FALSE)</f>
        <v>#N/A</v>
      </c>
      <c r="H95" s="1993"/>
      <c r="I95" s="1994" t="e">
        <f>VLOOKUP(K95,'DATOS %'!$C$112:$L$118,10,FALSE)</f>
        <v>#N/A</v>
      </c>
      <c r="J95" s="1995"/>
      <c r="K95" s="1104"/>
    </row>
    <row r="96" spans="1:12" ht="24.95" customHeight="1" x14ac:dyDescent="0.25">
      <c r="B96" s="1269"/>
      <c r="C96" s="1269"/>
      <c r="D96" s="1105"/>
      <c r="E96" s="1105"/>
      <c r="F96" s="1067"/>
      <c r="G96" s="1105"/>
      <c r="H96" s="1105"/>
      <c r="I96" s="1105"/>
      <c r="J96" s="1105"/>
      <c r="K96" s="1106"/>
      <c r="L96" s="1106"/>
    </row>
    <row r="97" spans="1:12" s="1100" customFormat="1" ht="24.95" customHeight="1" x14ac:dyDescent="0.3">
      <c r="A97" s="1996" t="s">
        <v>350</v>
      </c>
      <c r="B97" s="1996"/>
      <c r="C97" s="1996"/>
      <c r="D97" s="1996"/>
      <c r="E97" s="1996"/>
      <c r="F97" s="1996"/>
      <c r="G97" s="1996"/>
      <c r="H97" s="1996"/>
      <c r="I97" s="1996"/>
      <c r="J97" s="1996"/>
      <c r="K97" s="1996"/>
      <c r="L97" s="1107"/>
    </row>
    <row r="98" spans="1:12" s="1100" customFormat="1" ht="12" customHeight="1" x14ac:dyDescent="0.3">
      <c r="A98" s="1108"/>
      <c r="B98" s="1108"/>
      <c r="C98" s="1108"/>
      <c r="D98" s="1108"/>
      <c r="E98" s="1108"/>
      <c r="F98" s="1086"/>
      <c r="G98" s="1086"/>
      <c r="H98" s="1086"/>
      <c r="I98" s="1086"/>
      <c r="J98" s="1109"/>
      <c r="K98" s="1107"/>
      <c r="L98" s="1107"/>
    </row>
    <row r="99" spans="1:12" ht="15" customHeight="1" thickBot="1" x14ac:dyDescent="0.3">
      <c r="A99" s="1997" t="s">
        <v>303</v>
      </c>
      <c r="B99" s="1997"/>
      <c r="C99" s="1997"/>
      <c r="D99" s="1997"/>
      <c r="E99" s="1997"/>
      <c r="F99" s="1997"/>
      <c r="G99" s="1997"/>
      <c r="H99" s="1997"/>
      <c r="I99" s="1997"/>
      <c r="J99" s="1109"/>
      <c r="K99" s="1106"/>
      <c r="L99" s="1106"/>
    </row>
    <row r="100" spans="1:12" ht="30" customHeight="1" thickBot="1" x14ac:dyDescent="0.3">
      <c r="A100" s="1967" t="s">
        <v>29</v>
      </c>
      <c r="B100" s="1981"/>
      <c r="C100" s="1967" t="s">
        <v>30</v>
      </c>
      <c r="D100" s="1968"/>
      <c r="E100" s="1981"/>
      <c r="F100" s="1967" t="s">
        <v>320</v>
      </c>
      <c r="G100" s="1981"/>
      <c r="H100" s="1110" t="s">
        <v>391</v>
      </c>
      <c r="I100" s="1111"/>
      <c r="J100" s="1112" t="s">
        <v>426</v>
      </c>
      <c r="K100" s="1162" t="s">
        <v>607</v>
      </c>
    </row>
    <row r="101" spans="1:12" s="1106" customFormat="1" ht="24" customHeight="1" thickBot="1" x14ac:dyDescent="0.3">
      <c r="A101" s="1969" t="e">
        <f>'RT03-F11 %'!$F$29</f>
        <v>#N/A</v>
      </c>
      <c r="B101" s="1970"/>
      <c r="C101" s="1982">
        <f>'RT03-F11 %'!M30</f>
        <v>18927.055</v>
      </c>
      <c r="D101" s="1982"/>
      <c r="E101" s="1365" t="s">
        <v>4</v>
      </c>
      <c r="F101" s="1256" t="e">
        <f>'RT03-F11 %'!C122</f>
        <v>#N/A</v>
      </c>
      <c r="G101" s="1367" t="s">
        <v>4</v>
      </c>
      <c r="H101" s="253" t="e">
        <f>IF('RT03-F11 %'!F122&lt;=('CMC %'!I12),5,'RT03-F11 %'!F122)</f>
        <v>#N/A</v>
      </c>
      <c r="I101" s="1367" t="s">
        <v>4</v>
      </c>
      <c r="J101" s="1114" t="e">
        <f>'RT03-F11 %'!I122</f>
        <v>#N/A</v>
      </c>
      <c r="K101" s="1983" t="e">
        <f>IF(AND('Pc %'!H5&gt;=97.5%,'Pc %'!I5&lt;=2.5%),"SI","NO")</f>
        <v>#N/A</v>
      </c>
    </row>
    <row r="102" spans="1:12" s="1106" customFormat="1" ht="24" customHeight="1" thickBot="1" x14ac:dyDescent="0.3">
      <c r="A102" s="1971"/>
      <c r="B102" s="1972"/>
      <c r="C102" s="1975">
        <f>'RT03-F11 %'!M28</f>
        <v>1155.0000427166315</v>
      </c>
      <c r="D102" s="1975"/>
      <c r="E102" s="1366" t="s">
        <v>644</v>
      </c>
      <c r="F102" s="1115" t="e">
        <f>'RT03-F11 %'!C123</f>
        <v>#N/A</v>
      </c>
      <c r="G102" s="1368" t="s">
        <v>644</v>
      </c>
      <c r="H102" s="1116" t="e">
        <f>IF('RT03-F11 %'!F123&lt;=('CMC %'!J12),0.31,'RT03-F11 %'!F123)</f>
        <v>#N/A</v>
      </c>
      <c r="I102" s="1368" t="s">
        <v>644</v>
      </c>
      <c r="J102" s="1117" t="e">
        <f>'RT03-F11 %'!I123</f>
        <v>#N/A</v>
      </c>
      <c r="K102" s="1984"/>
    </row>
    <row r="103" spans="1:12" s="1106" customFormat="1" ht="24" customHeight="1" thickBot="1" x14ac:dyDescent="0.3">
      <c r="A103" s="1971"/>
      <c r="B103" s="1972"/>
      <c r="C103" s="1986">
        <f>'RT03-F11 %'!M27</f>
        <v>5</v>
      </c>
      <c r="D103" s="1987"/>
      <c r="E103" s="1366" t="s">
        <v>9</v>
      </c>
      <c r="F103" s="1118" t="e">
        <f>'RT03-F11 %'!C124</f>
        <v>#N/A</v>
      </c>
      <c r="G103" s="1368" t="s">
        <v>9</v>
      </c>
      <c r="H103" s="1119" t="e">
        <f>IF('RT03-F11 %'!F124&lt;=('CMC %'!K12),0.0013,'RT03-F11 %'!F124)</f>
        <v>#N/A</v>
      </c>
      <c r="I103" s="1368" t="s">
        <v>9</v>
      </c>
      <c r="J103" s="1267" t="e">
        <f>'RT03-F11 %'!I124</f>
        <v>#N/A</v>
      </c>
      <c r="K103" s="1984"/>
    </row>
    <row r="104" spans="1:12" ht="24" customHeight="1" thickBot="1" x14ac:dyDescent="0.3">
      <c r="A104" s="1973"/>
      <c r="B104" s="1974"/>
      <c r="C104" s="1979">
        <v>100</v>
      </c>
      <c r="D104" s="1980"/>
      <c r="E104" s="1366" t="s">
        <v>274</v>
      </c>
      <c r="F104" s="1121" t="e">
        <f>'RT03-F11 %'!C125</f>
        <v>#N/A</v>
      </c>
      <c r="G104" s="1366" t="s">
        <v>274</v>
      </c>
      <c r="H104" s="1122" t="e">
        <f>IF('RT03-F11 %'!F125&lt;=('CMC %'!L12),0.026,'RT03-F11 %'!F125)</f>
        <v>#N/A</v>
      </c>
      <c r="I104" s="1368" t="s">
        <v>274</v>
      </c>
      <c r="J104" s="1276" t="e">
        <f>'RT03-F11 %'!I125</f>
        <v>#N/A</v>
      </c>
      <c r="K104" s="1985"/>
    </row>
    <row r="105" spans="1:12" ht="20.100000000000001" customHeight="1" x14ac:dyDescent="0.25">
      <c r="A105" s="1124"/>
      <c r="B105" s="1125"/>
      <c r="C105" s="1126"/>
      <c r="D105" s="1126"/>
      <c r="E105" s="1127"/>
      <c r="F105" s="1128"/>
      <c r="G105" s="1127"/>
      <c r="H105" s="1129"/>
      <c r="I105" s="1129"/>
      <c r="J105" s="1129"/>
      <c r="K105" s="1129"/>
      <c r="L105" s="1129"/>
    </row>
    <row r="106" spans="1:12" ht="15" customHeight="1" thickBot="1" x14ac:dyDescent="0.3">
      <c r="A106" s="1130" t="s">
        <v>321</v>
      </c>
      <c r="B106" s="1130"/>
      <c r="C106" s="1130"/>
      <c r="D106" s="1130"/>
      <c r="E106" s="1130"/>
      <c r="F106" s="1130"/>
      <c r="G106" s="1130"/>
      <c r="H106" s="1130"/>
      <c r="I106" s="1130"/>
      <c r="J106" s="1130"/>
      <c r="K106" s="1130"/>
      <c r="L106" s="1130"/>
    </row>
    <row r="107" spans="1:12" s="1103" customFormat="1" ht="30" customHeight="1" thickBot="1" x14ac:dyDescent="0.25">
      <c r="A107" s="1131" t="s">
        <v>29</v>
      </c>
      <c r="B107" s="1132"/>
      <c r="C107" s="1131" t="s">
        <v>30</v>
      </c>
      <c r="D107" s="1132"/>
      <c r="E107" s="1131"/>
      <c r="F107" s="1967" t="s">
        <v>320</v>
      </c>
      <c r="G107" s="1968"/>
      <c r="H107" s="1110" t="s">
        <v>424</v>
      </c>
      <c r="I107" s="1111"/>
      <c r="J107" s="1112" t="s">
        <v>427</v>
      </c>
      <c r="K107" s="1162" t="s">
        <v>607</v>
      </c>
    </row>
    <row r="108" spans="1:12" ht="24" customHeight="1" thickBot="1" x14ac:dyDescent="0.3">
      <c r="A108" s="1969" t="e">
        <f>A101</f>
        <v>#N/A</v>
      </c>
      <c r="B108" s="1970"/>
      <c r="C108" s="1975">
        <f>C101</f>
        <v>18927.055</v>
      </c>
      <c r="D108" s="1975"/>
      <c r="E108" s="1366" t="s">
        <v>4</v>
      </c>
      <c r="F108" s="1113" t="e">
        <f>'Después de ajuste %'!C122</f>
        <v>#N/A</v>
      </c>
      <c r="G108" s="1371" t="s">
        <v>4</v>
      </c>
      <c r="H108" s="1114" t="e">
        <f>IF('Después de ajuste %'!F122&lt;=('CMC %'!I12),5,'Después de ajuste %'!F122)</f>
        <v>#N/A</v>
      </c>
      <c r="I108" s="1200" t="s">
        <v>4</v>
      </c>
      <c r="J108" s="1133" t="e">
        <f>'Después de ajuste %'!I122</f>
        <v>#N/A</v>
      </c>
      <c r="K108" s="1976" t="e">
        <f>IF(AND('Pc %'!H11&gt;=97.5%,'Pc %'!I11&lt;=2.5%),"SI","NO")</f>
        <v>#N/A</v>
      </c>
    </row>
    <row r="109" spans="1:12" ht="24" customHeight="1" thickBot="1" x14ac:dyDescent="0.3">
      <c r="A109" s="1971"/>
      <c r="B109" s="1972"/>
      <c r="C109" s="1975">
        <f>C102</f>
        <v>1155.0000427166315</v>
      </c>
      <c r="D109" s="1975"/>
      <c r="E109" s="1366" t="s">
        <v>644</v>
      </c>
      <c r="F109" s="1115" t="e">
        <f>'Después de ajuste %'!C123</f>
        <v>#N/A</v>
      </c>
      <c r="G109" s="1371" t="s">
        <v>644</v>
      </c>
      <c r="H109" s="1117" t="e">
        <f>IF('Después de ajuste %'!F123&lt;=('CMC %'!J12),0.31,'Después de ajuste %'!F123)</f>
        <v>#N/A</v>
      </c>
      <c r="I109" s="1366" t="s">
        <v>644</v>
      </c>
      <c r="J109" s="1134" t="e">
        <f>'Después de ajuste %'!I123</f>
        <v>#N/A</v>
      </c>
      <c r="K109" s="1977"/>
    </row>
    <row r="110" spans="1:12" ht="24" customHeight="1" thickBot="1" x14ac:dyDescent="0.3">
      <c r="A110" s="1971"/>
      <c r="B110" s="1972"/>
      <c r="C110" s="1369">
        <f>C103</f>
        <v>5</v>
      </c>
      <c r="D110" s="1370"/>
      <c r="E110" s="1366" t="s">
        <v>9</v>
      </c>
      <c r="F110" s="1118" t="e">
        <f>'Después de ajuste %'!C124</f>
        <v>#N/A</v>
      </c>
      <c r="G110" s="1371" t="s">
        <v>9</v>
      </c>
      <c r="H110" s="1267" t="e">
        <f>IF('Después de ajuste %'!F124&lt;=('CMC %'!K12),0.0013,'RT03-F11 %'!F124)</f>
        <v>#N/A</v>
      </c>
      <c r="I110" s="1366" t="s">
        <v>9</v>
      </c>
      <c r="J110" s="1135" t="e">
        <f>'Después de ajuste %'!I124</f>
        <v>#N/A</v>
      </c>
      <c r="K110" s="1977"/>
    </row>
    <row r="111" spans="1:12" ht="24" customHeight="1" thickBot="1" x14ac:dyDescent="0.3">
      <c r="A111" s="1973"/>
      <c r="B111" s="1974"/>
      <c r="C111" s="1979">
        <v>100</v>
      </c>
      <c r="D111" s="1980"/>
      <c r="E111" s="1366" t="s">
        <v>274</v>
      </c>
      <c r="F111" s="1121" t="e">
        <f>'Después de ajuste %'!C125</f>
        <v>#N/A</v>
      </c>
      <c r="G111" s="1366" t="s">
        <v>274</v>
      </c>
      <c r="H111" s="1122" t="e">
        <f>IF('Después de ajuste %'!F125&lt;=('CMC %'!L12),0.026,'Después de ajuste %'!F125)</f>
        <v>#N/A</v>
      </c>
      <c r="I111" s="1368" t="s">
        <v>274</v>
      </c>
      <c r="J111" s="1136" t="e">
        <f>'Después de ajuste %'!I125</f>
        <v>#N/A</v>
      </c>
      <c r="K111" s="1978"/>
    </row>
    <row r="112" spans="1:12" ht="11.25" customHeight="1" x14ac:dyDescent="0.25"/>
    <row r="113" spans="1:11" ht="30.75" customHeight="1" x14ac:dyDescent="0.25">
      <c r="A113" s="1960" t="s">
        <v>626</v>
      </c>
      <c r="B113" s="1960"/>
      <c r="C113" s="1960"/>
      <c r="D113" s="1960"/>
      <c r="E113" s="1960"/>
      <c r="F113" s="1960"/>
      <c r="G113" s="1960"/>
      <c r="H113" s="1960"/>
      <c r="I113" s="1960"/>
      <c r="J113" s="1960"/>
      <c r="K113" s="1960"/>
    </row>
    <row r="114" spans="1:11" ht="8.25" customHeight="1" thickBot="1" x14ac:dyDescent="0.3">
      <c r="A114" s="1137"/>
      <c r="B114" s="1137"/>
      <c r="C114" s="1137"/>
      <c r="D114" s="1137"/>
      <c r="E114" s="1137"/>
      <c r="F114" s="1137"/>
      <c r="G114" s="1137"/>
      <c r="H114" s="1137"/>
      <c r="I114" s="1137"/>
      <c r="J114" s="1137"/>
      <c r="K114" s="1137"/>
    </row>
    <row r="115" spans="1:11" ht="24.95" customHeight="1" thickBot="1" x14ac:dyDescent="0.3">
      <c r="A115" s="1137"/>
      <c r="B115" s="1137"/>
      <c r="C115" s="1137"/>
      <c r="D115" s="1106"/>
      <c r="E115" s="1373" t="s">
        <v>425</v>
      </c>
      <c r="F115" s="1374">
        <f>(C108*0.05%)</f>
        <v>9.4635274999999996</v>
      </c>
      <c r="G115" s="1373" t="s">
        <v>4</v>
      </c>
      <c r="H115" s="1137"/>
      <c r="I115" s="1138"/>
      <c r="J115" s="1137"/>
      <c r="K115" s="1137"/>
    </row>
    <row r="116" spans="1:11" ht="24.95" customHeight="1" x14ac:dyDescent="0.25">
      <c r="A116" s="1137"/>
      <c r="B116" s="1137"/>
      <c r="C116" s="1137"/>
      <c r="D116" s="1137"/>
      <c r="E116" s="1137"/>
      <c r="F116" s="1137"/>
      <c r="G116" s="1137"/>
      <c r="H116" s="1137"/>
      <c r="I116" s="1139"/>
      <c r="J116" s="1137"/>
      <c r="K116" s="1137"/>
    </row>
    <row r="117" spans="1:11" ht="15.95" customHeight="1" x14ac:dyDescent="0.25">
      <c r="A117" s="1137"/>
      <c r="B117" s="1137"/>
      <c r="C117" s="1137"/>
      <c r="D117" s="1137"/>
      <c r="E117" s="1137"/>
      <c r="F117" s="1137"/>
      <c r="G117" s="1137"/>
      <c r="H117" s="1137"/>
      <c r="I117" s="1138"/>
      <c r="J117" s="1137"/>
      <c r="K117" s="1137"/>
    </row>
    <row r="118" spans="1:11" ht="125.1" customHeight="1" x14ac:dyDescent="0.25">
      <c r="A118" s="1137"/>
      <c r="B118" s="1137"/>
      <c r="C118" s="1137"/>
      <c r="D118" s="1137"/>
      <c r="E118" s="1137"/>
      <c r="F118" s="1137"/>
      <c r="G118" s="1137"/>
      <c r="H118" s="1137"/>
      <c r="I118" s="1138"/>
      <c r="J118" s="1137"/>
      <c r="K118" s="1137"/>
    </row>
    <row r="119" spans="1:11" ht="35.1" customHeight="1" x14ac:dyDescent="0.25">
      <c r="A119" s="1137"/>
      <c r="B119" s="1137"/>
      <c r="C119" s="1137"/>
      <c r="D119" s="1137"/>
      <c r="E119" s="1137"/>
      <c r="F119" s="1137"/>
      <c r="G119" s="1137"/>
      <c r="H119" s="1137"/>
      <c r="I119" s="1138"/>
      <c r="J119" s="1137"/>
      <c r="K119" s="1137"/>
    </row>
    <row r="120" spans="1:11" ht="35.1" customHeight="1" thickBot="1" x14ac:dyDescent="0.3">
      <c r="A120" s="1137"/>
      <c r="B120" s="1137"/>
      <c r="C120" s="1137"/>
      <c r="D120" s="1137"/>
      <c r="E120" s="1137"/>
      <c r="F120" s="1137"/>
      <c r="G120" s="1137"/>
      <c r="H120" s="1137"/>
      <c r="I120" s="1282" t="s">
        <v>300</v>
      </c>
      <c r="J120" s="1961">
        <f>J3</f>
        <v>0</v>
      </c>
      <c r="K120" s="1962"/>
    </row>
    <row r="121" spans="1:11" ht="18" customHeight="1" thickBot="1" x14ac:dyDescent="0.3">
      <c r="A121" s="1963" t="s">
        <v>351</v>
      </c>
      <c r="B121" s="1963"/>
      <c r="C121" s="1963"/>
      <c r="D121" s="1963"/>
      <c r="E121" s="1963"/>
      <c r="F121" s="1140" t="e">
        <f>IF((F108)," SI","NO")</f>
        <v>#N/A</v>
      </c>
      <c r="G121" s="1070"/>
      <c r="H121" s="1141"/>
    </row>
    <row r="122" spans="1:11" ht="7.5" customHeight="1" thickBot="1" x14ac:dyDescent="0.3">
      <c r="A122" s="1142"/>
      <c r="B122" s="1142"/>
      <c r="C122" s="1142"/>
      <c r="D122" s="1142"/>
      <c r="E122" s="1142"/>
      <c r="F122" s="1070"/>
      <c r="G122" s="1070"/>
      <c r="H122" s="1070"/>
      <c r="I122" s="1143"/>
      <c r="J122" s="1105"/>
    </row>
    <row r="123" spans="1:11" ht="15" customHeight="1" thickBot="1" x14ac:dyDescent="0.3">
      <c r="A123" s="1964" t="s">
        <v>231</v>
      </c>
      <c r="B123" s="1964"/>
      <c r="C123" s="1964"/>
      <c r="D123" s="1964"/>
      <c r="E123" s="1964"/>
      <c r="F123" s="1144" t="s">
        <v>331</v>
      </c>
      <c r="G123" s="1274"/>
      <c r="H123" s="1275"/>
      <c r="I123" s="1274"/>
      <c r="J123" s="1273"/>
    </row>
    <row r="124" spans="1:11" ht="6" customHeight="1" x14ac:dyDescent="0.25">
      <c r="A124" s="1146"/>
      <c r="B124" s="1146"/>
      <c r="C124" s="1146"/>
      <c r="D124" s="1146"/>
      <c r="E124" s="1146"/>
      <c r="F124" s="1146"/>
      <c r="G124" s="1146"/>
      <c r="H124" s="1070"/>
      <c r="I124" s="1070"/>
    </row>
    <row r="125" spans="1:11" ht="16.5" customHeight="1" x14ac:dyDescent="0.25">
      <c r="A125" s="1965" t="s">
        <v>416</v>
      </c>
      <c r="B125" s="1965"/>
      <c r="C125" s="1965"/>
      <c r="D125" s="1965"/>
      <c r="E125" s="1965"/>
      <c r="F125" s="1965"/>
      <c r="G125" s="1965"/>
      <c r="H125" s="1965"/>
      <c r="I125" s="1965"/>
      <c r="J125" s="1067"/>
    </row>
    <row r="126" spans="1:11" ht="20.100000000000001" customHeight="1" thickBot="1" x14ac:dyDescent="0.3">
      <c r="A126" s="1268"/>
      <c r="B126" s="1268"/>
      <c r="C126" s="1268"/>
      <c r="D126" s="1268"/>
      <c r="E126" s="1257"/>
      <c r="F126" s="1966" t="s">
        <v>7</v>
      </c>
      <c r="G126" s="1966"/>
      <c r="H126" s="1070"/>
      <c r="I126" s="1070"/>
      <c r="J126" s="1070"/>
      <c r="K126" s="1070"/>
    </row>
    <row r="127" spans="1:11" ht="16.5" customHeight="1" x14ac:dyDescent="0.25">
      <c r="A127" s="1069"/>
      <c r="C127" s="1147" t="e">
        <f>'VERIFICACIÓN DE LA ESCALA %'!C56</f>
        <v>#N/A</v>
      </c>
      <c r="D127" s="1148" t="s">
        <v>4</v>
      </c>
      <c r="E127" s="1958" t="s">
        <v>322</v>
      </c>
      <c r="F127" s="1258" t="e">
        <f>'VERIFICACIÓN DE LA ESCALA %'!F56</f>
        <v>#N/A</v>
      </c>
      <c r="G127" s="1277" t="s">
        <v>4</v>
      </c>
      <c r="I127" s="1070"/>
      <c r="J127" s="1070"/>
      <c r="K127" s="1070"/>
    </row>
    <row r="128" spans="1:11" ht="17.25" customHeight="1" x14ac:dyDescent="0.25">
      <c r="A128" s="1268"/>
      <c r="C128" s="1149" t="e">
        <f>'VERIFICACIÓN DE LA ESCALA %'!C57</f>
        <v>#N/A</v>
      </c>
      <c r="D128" s="1150" t="s">
        <v>606</v>
      </c>
      <c r="E128" s="1958"/>
      <c r="F128" s="1260" t="e">
        <f>'VERIFICACIÓN DE LA ESCALA %'!F57</f>
        <v>#N/A</v>
      </c>
      <c r="G128" s="1277" t="s">
        <v>622</v>
      </c>
      <c r="I128" s="1070"/>
      <c r="J128" s="1070"/>
      <c r="K128" s="1070"/>
    </row>
    <row r="129" spans="1:12" ht="15" customHeight="1" thickBot="1" x14ac:dyDescent="0.3">
      <c r="A129" s="1268"/>
      <c r="C129" s="1151" t="e">
        <f>'VERIFICACIÓN DE LA ESCALA %'!C58</f>
        <v>#N/A</v>
      </c>
      <c r="D129" s="1152" t="s">
        <v>274</v>
      </c>
      <c r="E129" s="1958"/>
      <c r="F129" s="1261" t="e">
        <f>'VERIFICACIÓN DE LA ESCALA %'!F58</f>
        <v>#N/A</v>
      </c>
      <c r="G129" s="1277" t="s">
        <v>274</v>
      </c>
      <c r="I129" s="1070"/>
      <c r="J129" s="1070"/>
      <c r="K129" s="1070"/>
    </row>
    <row r="130" spans="1:12" ht="24.95" customHeight="1" x14ac:dyDescent="0.25">
      <c r="A130" s="1268"/>
      <c r="B130" s="1070"/>
      <c r="C130" s="1070"/>
      <c r="D130" s="1070"/>
      <c r="E130" s="1070"/>
      <c r="F130" s="1070"/>
      <c r="G130" s="1070"/>
      <c r="H130" s="1062"/>
      <c r="I130" s="1079"/>
      <c r="J130" s="1079"/>
      <c r="K130" s="1079"/>
    </row>
    <row r="131" spans="1:12" ht="12" customHeight="1" x14ac:dyDescent="0.25">
      <c r="A131" s="1959" t="s">
        <v>352</v>
      </c>
      <c r="B131" s="1959"/>
      <c r="C131" s="1959"/>
      <c r="D131" s="1959"/>
      <c r="E131" s="1959"/>
      <c r="F131" s="1959"/>
      <c r="G131" s="1071"/>
      <c r="H131" s="1070"/>
      <c r="I131" s="1070"/>
      <c r="J131" s="1070"/>
      <c r="K131" s="1070"/>
    </row>
    <row r="132" spans="1:12" ht="12" customHeight="1" x14ac:dyDescent="0.25">
      <c r="A132" s="1278"/>
      <c r="B132" s="1278"/>
      <c r="C132" s="1278"/>
      <c r="D132" s="1278"/>
      <c r="E132" s="1278"/>
      <c r="F132" s="1278"/>
      <c r="G132" s="1071"/>
      <c r="H132" s="1070"/>
      <c r="I132" s="1070"/>
      <c r="J132" s="1070"/>
      <c r="K132" s="1070"/>
    </row>
    <row r="133" spans="1:12" ht="33" customHeight="1" x14ac:dyDescent="0.25">
      <c r="A133" s="1375" t="s">
        <v>516</v>
      </c>
      <c r="B133" s="1956" t="s">
        <v>517</v>
      </c>
      <c r="C133" s="1956"/>
      <c r="D133" s="1956"/>
      <c r="E133" s="1956"/>
      <c r="F133" s="1956"/>
      <c r="G133" s="1956"/>
      <c r="H133" s="1956"/>
      <c r="I133" s="1956"/>
      <c r="J133" s="1956"/>
      <c r="K133" s="1956"/>
    </row>
    <row r="134" spans="1:12" ht="23.1" customHeight="1" x14ac:dyDescent="0.25">
      <c r="A134" s="1375" t="s">
        <v>516</v>
      </c>
      <c r="B134" s="1956" t="s">
        <v>518</v>
      </c>
      <c r="C134" s="1956"/>
      <c r="D134" s="1956"/>
      <c r="E134" s="1956"/>
      <c r="F134" s="1956"/>
      <c r="G134" s="1956"/>
      <c r="H134" s="1956"/>
      <c r="I134" s="1956"/>
      <c r="J134" s="1956"/>
      <c r="K134" s="1956"/>
    </row>
    <row r="135" spans="1:12" ht="33" customHeight="1" x14ac:dyDescent="0.25">
      <c r="A135" s="1375" t="s">
        <v>516</v>
      </c>
      <c r="B135" s="1956" t="s">
        <v>519</v>
      </c>
      <c r="C135" s="1956"/>
      <c r="D135" s="1956"/>
      <c r="E135" s="1956"/>
      <c r="F135" s="1956"/>
      <c r="G135" s="1956"/>
      <c r="H135" s="1956"/>
      <c r="I135" s="1956"/>
      <c r="J135" s="1956"/>
      <c r="K135" s="1956"/>
    </row>
    <row r="136" spans="1:12" s="1153" customFormat="1" ht="23.1" customHeight="1" x14ac:dyDescent="0.25">
      <c r="A136" s="1375" t="s">
        <v>516</v>
      </c>
      <c r="B136" s="1956" t="s">
        <v>520</v>
      </c>
      <c r="C136" s="1956"/>
      <c r="D136" s="1956"/>
      <c r="E136" s="1956"/>
      <c r="F136" s="1956"/>
      <c r="G136" s="1956"/>
      <c r="H136" s="1956"/>
      <c r="I136" s="1956"/>
      <c r="J136" s="1956"/>
      <c r="K136" s="1956"/>
    </row>
    <row r="137" spans="1:12" s="1153" customFormat="1" ht="23.1" customHeight="1" x14ac:dyDescent="0.25">
      <c r="A137" s="1375" t="s">
        <v>516</v>
      </c>
      <c r="B137" s="1956" t="s">
        <v>521</v>
      </c>
      <c r="C137" s="1956"/>
      <c r="D137" s="1956"/>
      <c r="E137" s="1956"/>
      <c r="F137" s="1956"/>
      <c r="G137" s="1956"/>
      <c r="H137" s="1956"/>
      <c r="I137" s="1956"/>
      <c r="J137" s="1956"/>
      <c r="K137" s="1956"/>
    </row>
    <row r="138" spans="1:12" s="1153" customFormat="1" ht="23.1" customHeight="1" x14ac:dyDescent="0.25">
      <c r="A138" s="1375" t="s">
        <v>516</v>
      </c>
      <c r="B138" s="1956" t="s">
        <v>522</v>
      </c>
      <c r="C138" s="1956"/>
      <c r="D138" s="1956"/>
      <c r="E138" s="1956"/>
      <c r="F138" s="1956"/>
      <c r="G138" s="1956"/>
      <c r="H138" s="1956"/>
      <c r="I138" s="1956"/>
      <c r="J138" s="1956"/>
      <c r="K138" s="1956"/>
    </row>
    <row r="139" spans="1:12" ht="23.1" customHeight="1" x14ac:dyDescent="0.25">
      <c r="A139" s="1375" t="s">
        <v>516</v>
      </c>
      <c r="B139" s="1956" t="s">
        <v>523</v>
      </c>
      <c r="C139" s="1956"/>
      <c r="D139" s="1956"/>
      <c r="E139" s="1956"/>
      <c r="F139" s="1956"/>
      <c r="G139" s="1956"/>
      <c r="H139" s="1956"/>
      <c r="I139" s="1956"/>
      <c r="J139" s="1956"/>
      <c r="K139" s="1956"/>
    </row>
    <row r="140" spans="1:12" s="1153" customFormat="1" ht="23.1" customHeight="1" x14ac:dyDescent="0.25">
      <c r="A140" s="1375" t="s">
        <v>516</v>
      </c>
      <c r="B140" s="1956" t="s">
        <v>524</v>
      </c>
      <c r="C140" s="1956"/>
      <c r="D140" s="1956"/>
      <c r="E140" s="1956"/>
      <c r="F140" s="1956"/>
      <c r="G140" s="1956"/>
      <c r="H140" s="1956"/>
      <c r="I140" s="1956"/>
      <c r="J140" s="1956"/>
      <c r="K140" s="1956"/>
      <c r="L140" s="1154"/>
    </row>
    <row r="141" spans="1:12" s="1153" customFormat="1" ht="23.1" customHeight="1" x14ac:dyDescent="0.25">
      <c r="A141" s="1375" t="s">
        <v>525</v>
      </c>
      <c r="B141" s="1956" t="s">
        <v>526</v>
      </c>
      <c r="C141" s="1956"/>
      <c r="D141" s="1956"/>
      <c r="E141" s="1956"/>
      <c r="F141" s="1956"/>
      <c r="G141" s="1956"/>
      <c r="H141" s="1956"/>
      <c r="I141" s="1956"/>
      <c r="J141" s="1956"/>
      <c r="K141" s="1956"/>
      <c r="L141" s="1154"/>
    </row>
    <row r="142" spans="1:12" ht="23.1" customHeight="1" x14ac:dyDescent="0.25">
      <c r="A142" s="1375" t="s">
        <v>525</v>
      </c>
      <c r="B142" s="1956" t="s">
        <v>593</v>
      </c>
      <c r="C142" s="1956"/>
      <c r="D142" s="1956"/>
      <c r="E142" s="1956"/>
      <c r="F142" s="1956"/>
      <c r="G142" s="1956"/>
      <c r="H142" s="1956"/>
      <c r="I142" s="1956"/>
      <c r="J142" s="1956"/>
      <c r="K142" s="1956"/>
      <c r="L142" s="1155"/>
    </row>
    <row r="143" spans="1:12" ht="23.1" customHeight="1" x14ac:dyDescent="0.25">
      <c r="A143" s="1376" t="s">
        <v>516</v>
      </c>
      <c r="B143" s="1956" t="s">
        <v>527</v>
      </c>
      <c r="C143" s="1956"/>
      <c r="D143" s="1956"/>
      <c r="E143" s="1956"/>
      <c r="F143" s="1956"/>
      <c r="G143" s="1956"/>
      <c r="H143" s="1956"/>
      <c r="I143" s="1956"/>
      <c r="J143" s="1956"/>
      <c r="K143" s="1956"/>
      <c r="L143" s="1156"/>
    </row>
    <row r="144" spans="1:12" ht="33" customHeight="1" x14ac:dyDescent="0.25">
      <c r="A144" s="1375" t="s">
        <v>516</v>
      </c>
      <c r="B144" s="1956" t="s">
        <v>528</v>
      </c>
      <c r="C144" s="1956"/>
      <c r="D144" s="1956"/>
      <c r="E144" s="1956"/>
      <c r="F144" s="1956"/>
      <c r="G144" s="1956"/>
      <c r="H144" s="1956"/>
      <c r="I144" s="1956"/>
      <c r="J144" s="1956"/>
      <c r="K144" s="1956"/>
    </row>
    <row r="145" spans="1:11" ht="23.1" customHeight="1" x14ac:dyDescent="0.25">
      <c r="A145" s="1375" t="s">
        <v>516</v>
      </c>
      <c r="B145" s="1956" t="s">
        <v>529</v>
      </c>
      <c r="C145" s="1956"/>
      <c r="D145" s="1956"/>
      <c r="E145" s="1956"/>
      <c r="F145" s="1956"/>
      <c r="G145" s="1956"/>
      <c r="H145" s="1956"/>
      <c r="I145" s="1956"/>
      <c r="J145" s="1956"/>
      <c r="K145" s="1956"/>
    </row>
    <row r="146" spans="1:11" ht="23.1" customHeight="1" x14ac:dyDescent="0.25">
      <c r="A146" s="1375" t="s">
        <v>516</v>
      </c>
      <c r="B146" s="1956" t="s">
        <v>530</v>
      </c>
      <c r="C146" s="1956"/>
      <c r="D146" s="1956"/>
      <c r="E146" s="1956"/>
      <c r="F146" s="1956"/>
      <c r="G146" s="1956"/>
      <c r="H146" s="1956"/>
      <c r="I146" s="1956"/>
      <c r="J146" s="1956"/>
      <c r="K146" s="1956"/>
    </row>
    <row r="147" spans="1:11" ht="23.1" customHeight="1" x14ac:dyDescent="0.25">
      <c r="A147" s="1375" t="s">
        <v>516</v>
      </c>
      <c r="B147" s="1956" t="s">
        <v>592</v>
      </c>
      <c r="C147" s="1956"/>
      <c r="D147" s="1956"/>
      <c r="E147" s="1956"/>
      <c r="F147" s="1956"/>
      <c r="G147" s="1956"/>
      <c r="H147" s="1956"/>
      <c r="I147" s="1956"/>
      <c r="J147" s="1956"/>
      <c r="K147" s="1956"/>
    </row>
    <row r="148" spans="1:11" ht="23.1" customHeight="1" x14ac:dyDescent="0.25">
      <c r="A148" s="1375" t="s">
        <v>516</v>
      </c>
      <c r="B148" s="1956" t="s">
        <v>531</v>
      </c>
      <c r="C148" s="1956"/>
      <c r="D148" s="1956"/>
      <c r="E148" s="1956"/>
      <c r="F148" s="1956"/>
      <c r="G148" s="1956"/>
      <c r="H148" s="1956"/>
      <c r="I148" s="1956"/>
      <c r="J148" s="1956"/>
      <c r="K148" s="1956"/>
    </row>
    <row r="149" spans="1:11" ht="23.1" customHeight="1" x14ac:dyDescent="0.25">
      <c r="A149" s="1375" t="s">
        <v>516</v>
      </c>
      <c r="B149" s="1956" t="s">
        <v>591</v>
      </c>
      <c r="C149" s="1956"/>
      <c r="D149" s="1956"/>
      <c r="E149" s="1956"/>
      <c r="F149" s="1956"/>
      <c r="G149" s="1956"/>
      <c r="H149" s="1956"/>
      <c r="I149" s="1956"/>
      <c r="J149" s="1956"/>
      <c r="K149" s="1956"/>
    </row>
    <row r="150" spans="1:11" ht="23.1" customHeight="1" x14ac:dyDescent="0.25">
      <c r="A150" s="1375" t="s">
        <v>525</v>
      </c>
      <c r="B150" s="1956" t="s">
        <v>590</v>
      </c>
      <c r="C150" s="1956"/>
      <c r="D150" s="1956"/>
      <c r="E150" s="1956"/>
      <c r="F150" s="1956"/>
      <c r="G150" s="1956"/>
      <c r="H150" s="1956"/>
      <c r="I150" s="1956"/>
      <c r="J150" s="1956"/>
      <c r="K150" s="1956"/>
    </row>
    <row r="151" spans="1:11" ht="33" customHeight="1" x14ac:dyDescent="0.25">
      <c r="A151" s="1375" t="s">
        <v>516</v>
      </c>
      <c r="B151" s="1956" t="s">
        <v>589</v>
      </c>
      <c r="C151" s="1956"/>
      <c r="D151" s="1956"/>
      <c r="E151" s="1956"/>
      <c r="F151" s="1956"/>
      <c r="G151" s="1956"/>
      <c r="H151" s="1956"/>
      <c r="I151" s="1956"/>
      <c r="J151" s="1956"/>
      <c r="K151" s="1956"/>
    </row>
    <row r="152" spans="1:11" ht="15" customHeight="1" x14ac:dyDescent="0.25">
      <c r="E152" s="1070"/>
      <c r="F152" s="1070"/>
      <c r="G152" s="1070"/>
      <c r="H152" s="1070"/>
      <c r="I152" s="1070"/>
      <c r="J152" s="1070"/>
      <c r="K152" s="1070"/>
    </row>
    <row r="153" spans="1:11" ht="15" customHeight="1" x14ac:dyDescent="0.25">
      <c r="A153" s="1955" t="s">
        <v>31</v>
      </c>
      <c r="B153" s="1955"/>
      <c r="C153" s="1955"/>
      <c r="D153" s="1955"/>
      <c r="E153" s="1070"/>
      <c r="F153" s="1070"/>
      <c r="G153" s="1070"/>
      <c r="H153" s="1070"/>
      <c r="I153" s="1070"/>
      <c r="J153" s="1070"/>
      <c r="K153" s="1070"/>
    </row>
    <row r="154" spans="1:11" ht="15" customHeight="1" x14ac:dyDescent="0.25">
      <c r="A154" s="1279"/>
      <c r="B154" s="1279"/>
      <c r="C154" s="1279"/>
      <c r="D154" s="1279"/>
      <c r="E154" s="1070"/>
      <c r="F154" s="1070"/>
      <c r="G154" s="1070"/>
      <c r="H154" s="1070"/>
      <c r="I154" s="1070"/>
      <c r="J154" s="1070"/>
      <c r="K154" s="1070"/>
    </row>
    <row r="155" spans="1:11" ht="15" customHeight="1" x14ac:dyDescent="0.25">
      <c r="A155" s="1070"/>
      <c r="B155" s="1070"/>
      <c r="C155" s="1070"/>
      <c r="D155" s="1070"/>
      <c r="E155" s="1070"/>
      <c r="F155" s="1070"/>
      <c r="G155" s="1070"/>
      <c r="H155" s="1070"/>
      <c r="I155" s="1070"/>
      <c r="J155" s="1070"/>
      <c r="K155" s="1070"/>
    </row>
    <row r="156" spans="1:11" ht="15" customHeight="1" x14ac:dyDescent="0.25">
      <c r="A156" s="1070"/>
      <c r="B156" s="1070"/>
      <c r="C156" s="1070"/>
      <c r="D156" s="1070"/>
      <c r="E156" s="1070"/>
      <c r="F156" s="1070"/>
      <c r="G156" s="1070"/>
      <c r="H156" s="1070"/>
      <c r="I156" s="1070"/>
      <c r="J156" s="1070"/>
      <c r="K156" s="1070"/>
    </row>
    <row r="157" spans="1:11" ht="15" customHeight="1" x14ac:dyDescent="0.25">
      <c r="A157" s="1157"/>
      <c r="B157" s="1075"/>
      <c r="C157" s="1957"/>
      <c r="D157" s="1957"/>
      <c r="E157" s="1957"/>
      <c r="F157" s="1957"/>
      <c r="G157" s="1075"/>
      <c r="H157" s="1957"/>
      <c r="I157" s="1957"/>
      <c r="J157" s="1957"/>
      <c r="K157" s="1157"/>
    </row>
    <row r="158" spans="1:11" ht="15" customHeight="1" x14ac:dyDescent="0.25">
      <c r="A158" s="1070"/>
      <c r="C158" s="1952" t="s">
        <v>32</v>
      </c>
      <c r="D158" s="1952"/>
      <c r="E158" s="1952"/>
      <c r="F158" s="1952"/>
      <c r="G158" s="1075"/>
      <c r="H158" s="1952" t="s">
        <v>515</v>
      </c>
      <c r="I158" s="1952"/>
      <c r="J158" s="1952"/>
      <c r="K158" s="1070"/>
    </row>
    <row r="159" spans="1:11" ht="21" customHeight="1" x14ac:dyDescent="0.25">
      <c r="C159" s="1953" t="e">
        <f>VLOOKUP(A157,'DATOS %'!P9:S13,4,FALSE)</f>
        <v>#N/A</v>
      </c>
      <c r="D159" s="1953"/>
      <c r="E159" s="1953"/>
      <c r="F159" s="1953"/>
      <c r="G159" s="1158"/>
      <c r="H159" s="1954" t="e">
        <f>VLOOKUP(K157,'DATOS %'!P9:U13,6,FALSE)</f>
        <v>#N/A</v>
      </c>
      <c r="I159" s="1954"/>
      <c r="J159" s="1954"/>
      <c r="K159" s="1158"/>
    </row>
    <row r="160" spans="1:11" ht="15" customHeight="1" x14ac:dyDescent="0.25">
      <c r="A160" s="1070"/>
      <c r="C160" s="1955" t="e">
        <f>VLOOKUP(A157,'DATOS %'!P9:S13,2,FALSE)</f>
        <v>#N/A</v>
      </c>
      <c r="D160" s="1955"/>
      <c r="E160" s="1955"/>
      <c r="F160" s="1955"/>
      <c r="G160" s="1063"/>
      <c r="H160" s="1955" t="e">
        <f>VLOOKUP(K157,'DATOS %'!P9:U13,2,FALSE)</f>
        <v>#N/A</v>
      </c>
      <c r="I160" s="1955"/>
      <c r="J160" s="1955"/>
      <c r="K160" s="1063"/>
    </row>
    <row r="161" spans="1:11" ht="15" customHeight="1" x14ac:dyDescent="0.25">
      <c r="D161" s="1070"/>
      <c r="E161" s="1070"/>
      <c r="F161" s="1070"/>
      <c r="G161" s="1070"/>
      <c r="H161" s="1070"/>
      <c r="I161" s="1070"/>
      <c r="J161" s="1070"/>
      <c r="K161" s="1070"/>
    </row>
    <row r="162" spans="1:11" ht="15" customHeight="1" x14ac:dyDescent="0.25">
      <c r="A162" s="1070"/>
      <c r="B162" s="1949" t="s">
        <v>428</v>
      </c>
      <c r="C162" s="1949"/>
      <c r="D162" s="1281" t="s">
        <v>429</v>
      </c>
      <c r="E162" s="1288"/>
      <c r="F162" s="1288"/>
      <c r="H162" s="1159"/>
      <c r="I162" s="1950" t="s">
        <v>514</v>
      </c>
      <c r="J162" s="1950"/>
      <c r="K162" s="1161" t="s">
        <v>429</v>
      </c>
    </row>
    <row r="163" spans="1:11" ht="15" customHeight="1" x14ac:dyDescent="0.25">
      <c r="A163" s="1070"/>
      <c r="J163" s="1070"/>
      <c r="K163" s="1070"/>
    </row>
    <row r="164" spans="1:11" ht="15.75" customHeight="1" x14ac:dyDescent="0.25">
      <c r="A164" s="1951" t="s">
        <v>232</v>
      </c>
      <c r="B164" s="1951"/>
      <c r="C164" s="1951"/>
      <c r="D164" s="1951"/>
      <c r="E164" s="1951"/>
      <c r="F164" s="1951"/>
      <c r="G164" s="1951"/>
      <c r="H164" s="1951"/>
      <c r="I164" s="1951"/>
      <c r="J164" s="1951"/>
      <c r="K164" s="1951"/>
    </row>
  </sheetData>
  <sheetProtection password="CF5C" sheet="1" objects="1" scenarios="1"/>
  <mergeCells count="154">
    <mergeCell ref="A8:B8"/>
    <mergeCell ref="D8:K8"/>
    <mergeCell ref="A10:D10"/>
    <mergeCell ref="E10:F10"/>
    <mergeCell ref="H10:I10"/>
    <mergeCell ref="J10:K10"/>
    <mergeCell ref="A1:K1"/>
    <mergeCell ref="J3:K3"/>
    <mergeCell ref="A4:D4"/>
    <mergeCell ref="A6:B6"/>
    <mergeCell ref="D6:K6"/>
    <mergeCell ref="A7:B7"/>
    <mergeCell ref="D7:K7"/>
    <mergeCell ref="A16:D16"/>
    <mergeCell ref="E16:H16"/>
    <mergeCell ref="A17:D17"/>
    <mergeCell ref="E17:H17"/>
    <mergeCell ref="A18:D18"/>
    <mergeCell ref="E18:H18"/>
    <mergeCell ref="A11:B11"/>
    <mergeCell ref="D11:F11"/>
    <mergeCell ref="A12:J12"/>
    <mergeCell ref="A14:D14"/>
    <mergeCell ref="E14:H14"/>
    <mergeCell ref="A15:D15"/>
    <mergeCell ref="E15:H15"/>
    <mergeCell ref="A22:D22"/>
    <mergeCell ref="A23:D23"/>
    <mergeCell ref="E23:H23"/>
    <mergeCell ref="S23:U23"/>
    <mergeCell ref="W23:Y23"/>
    <mergeCell ref="A24:D24"/>
    <mergeCell ref="E24:H24"/>
    <mergeCell ref="A19:D19"/>
    <mergeCell ref="E19:H19"/>
    <mergeCell ref="A20:D20"/>
    <mergeCell ref="E20:H20"/>
    <mergeCell ref="A21:D21"/>
    <mergeCell ref="S21:W21"/>
    <mergeCell ref="A33:K34"/>
    <mergeCell ref="J38:K38"/>
    <mergeCell ref="A43:B43"/>
    <mergeCell ref="C45:K45"/>
    <mergeCell ref="C47:K48"/>
    <mergeCell ref="C50:K50"/>
    <mergeCell ref="A25:K25"/>
    <mergeCell ref="A27:K27"/>
    <mergeCell ref="A28:K28"/>
    <mergeCell ref="A29:D29"/>
    <mergeCell ref="E29:F29"/>
    <mergeCell ref="A31:H31"/>
    <mergeCell ref="C59:J59"/>
    <mergeCell ref="C60:K60"/>
    <mergeCell ref="C61:J61"/>
    <mergeCell ref="C62:F62"/>
    <mergeCell ref="C63:J63"/>
    <mergeCell ref="C64:J64"/>
    <mergeCell ref="C52:K52"/>
    <mergeCell ref="C54:K54"/>
    <mergeCell ref="C55:J55"/>
    <mergeCell ref="C56:K56"/>
    <mergeCell ref="C57:J57"/>
    <mergeCell ref="C58:K58"/>
    <mergeCell ref="I76:J76"/>
    <mergeCell ref="I77:J77"/>
    <mergeCell ref="J81:K81"/>
    <mergeCell ref="A82:E82"/>
    <mergeCell ref="A84:K85"/>
    <mergeCell ref="A87:E87"/>
    <mergeCell ref="C65:J65"/>
    <mergeCell ref="C66:H66"/>
    <mergeCell ref="C68:H68"/>
    <mergeCell ref="A71:E71"/>
    <mergeCell ref="A73:K73"/>
    <mergeCell ref="C75:D75"/>
    <mergeCell ref="E75:F75"/>
    <mergeCell ref="G75:H75"/>
    <mergeCell ref="A89:K89"/>
    <mergeCell ref="A91:C91"/>
    <mergeCell ref="E91:F91"/>
    <mergeCell ref="G91:H91"/>
    <mergeCell ref="I91:J91"/>
    <mergeCell ref="A92:C92"/>
    <mergeCell ref="E92:F92"/>
    <mergeCell ref="G92:H92"/>
    <mergeCell ref="I92:J92"/>
    <mergeCell ref="A95:C95"/>
    <mergeCell ref="E95:F95"/>
    <mergeCell ref="G95:H95"/>
    <mergeCell ref="I95:J95"/>
    <mergeCell ref="A97:K97"/>
    <mergeCell ref="A99:I99"/>
    <mergeCell ref="A93:C93"/>
    <mergeCell ref="E93:F93"/>
    <mergeCell ref="G93:H93"/>
    <mergeCell ref="I93:J93"/>
    <mergeCell ref="A94:C94"/>
    <mergeCell ref="E94:F94"/>
    <mergeCell ref="G94:H94"/>
    <mergeCell ref="I94:J94"/>
    <mergeCell ref="A100:B100"/>
    <mergeCell ref="C100:E100"/>
    <mergeCell ref="F100:G100"/>
    <mergeCell ref="A101:B104"/>
    <mergeCell ref="C101:D101"/>
    <mergeCell ref="K101:K104"/>
    <mergeCell ref="C102:D102"/>
    <mergeCell ref="C103:D103"/>
    <mergeCell ref="C104:D104"/>
    <mergeCell ref="A113:K113"/>
    <mergeCell ref="J120:K120"/>
    <mergeCell ref="A121:E121"/>
    <mergeCell ref="A123:E123"/>
    <mergeCell ref="A125:I125"/>
    <mergeCell ref="F126:G126"/>
    <mergeCell ref="F107:G107"/>
    <mergeCell ref="A108:B111"/>
    <mergeCell ref="C108:D108"/>
    <mergeCell ref="K108:K111"/>
    <mergeCell ref="C109:D109"/>
    <mergeCell ref="C111:D111"/>
    <mergeCell ref="B137:K137"/>
    <mergeCell ref="B138:K138"/>
    <mergeCell ref="B139:K139"/>
    <mergeCell ref="B140:K140"/>
    <mergeCell ref="B141:K141"/>
    <mergeCell ref="B142:K142"/>
    <mergeCell ref="E127:E129"/>
    <mergeCell ref="A131:F131"/>
    <mergeCell ref="B133:K133"/>
    <mergeCell ref="B134:K134"/>
    <mergeCell ref="B135:K135"/>
    <mergeCell ref="B136:K136"/>
    <mergeCell ref="B149:K149"/>
    <mergeCell ref="B150:K150"/>
    <mergeCell ref="B151:K151"/>
    <mergeCell ref="A153:D153"/>
    <mergeCell ref="C157:F157"/>
    <mergeCell ref="H157:J157"/>
    <mergeCell ref="B143:K143"/>
    <mergeCell ref="B144:K144"/>
    <mergeCell ref="B145:K145"/>
    <mergeCell ref="B146:K146"/>
    <mergeCell ref="B147:K147"/>
    <mergeCell ref="B148:K148"/>
    <mergeCell ref="B162:C162"/>
    <mergeCell ref="I162:J162"/>
    <mergeCell ref="A164:K164"/>
    <mergeCell ref="C158:F158"/>
    <mergeCell ref="H158:J158"/>
    <mergeCell ref="C159:F159"/>
    <mergeCell ref="H159:J159"/>
    <mergeCell ref="C160:F160"/>
    <mergeCell ref="H160:J160"/>
  </mergeCells>
  <printOptions horizontalCentered="1"/>
  <pageMargins left="0.23622047244094491" right="0.23622047244094491" top="0.74803149606299213" bottom="0.74803149606299213" header="0.31496062992125984" footer="0.31496062992125984"/>
  <pageSetup scale="65" orientation="portrait" r:id="rId1"/>
  <headerFooter>
    <oddHeader>&amp;C
&amp;"-,Negrita"CERTIFICADO DE CALIBRACIÓN DE RECIPIENTES VOLUMÉTRICOS</oddHeader>
    <oddFooter xml:space="preserve">&amp;RRT03-F14 Vr.10 (2021-05-10)
&amp;P de 4 </oddFooter>
  </headerFooter>
  <rowBreaks count="3" manualBreakCount="3">
    <brk id="35" max="10" man="1"/>
    <brk id="78" max="10" man="1"/>
    <brk id="117" max="10" man="1"/>
  </rowBreaks>
  <colBreaks count="1" manualBreakCount="1">
    <brk id="11" max="1048575" man="1"/>
  </colBreaks>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630BA5FC-004C-4CA5-8751-1D39215F5808}">
            <xm:f>NOT(ISERROR(SEARCH($F$108,F121)))</xm:f>
            <xm:f>$F$108</xm:f>
            <x14:dxf>
              <font>
                <b/>
                <i val="0"/>
              </font>
            </x14:dxf>
          </x14:cfRule>
          <x14:cfRule type="containsText" priority="2" stopIfTrue="1" operator="containsText" id="{6979F7CE-0828-44AC-B31C-670FA5B17127}">
            <xm:f>NOT(ISERROR(SEARCH($F$108,F121)))</xm:f>
            <xm:f>$F$108</xm:f>
            <x14:dxf>
              <font>
                <b/>
                <i val="0"/>
                <color auto="1"/>
              </font>
              <fill>
                <patternFill>
                  <bgColor rgb="FFFFC7CE"/>
                </patternFill>
              </fill>
            </x14:dxf>
          </x14:cfRule>
          <xm:sqref>F121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700-000000000000}">
          <x14:formula1>
            <xm:f>'DATOS %'!$Q$26:$Q$28</xm:f>
          </x14:formula1>
          <xm:sqref>B77</xm:sqref>
        </x14:dataValidation>
        <x14:dataValidation type="list" allowBlank="1" showInputMessage="1" showErrorMessage="1" xr:uid="{00000000-0002-0000-0700-000001000000}">
          <x14:formula1>
            <xm:f>'DATOS %'!$C$112:$C$117</xm:f>
          </x14:formula1>
          <xm:sqref>K95</xm:sqref>
        </x14:dataValidation>
        <x14:dataValidation type="list" allowBlank="1" showInputMessage="1" showErrorMessage="1" xr:uid="{00000000-0002-0000-0700-000002000000}">
          <x14:formula1>
            <xm:f>'DATOS %'!$P$9:$P$13</xm:f>
          </x14:formula1>
          <xm:sqref>K157 A157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66CC"/>
  </sheetPr>
  <dimension ref="A1:Y164"/>
  <sheetViews>
    <sheetView showGridLines="0" tabSelected="1" view="pageBreakPreview" zoomScaleNormal="100" zoomScaleSheetLayoutView="100" workbookViewId="0">
      <selection activeCell="C157" sqref="C157:F157"/>
    </sheetView>
  </sheetViews>
  <sheetFormatPr baseColWidth="10" defaultColWidth="11.42578125" defaultRowHeight="15.75" x14ac:dyDescent="0.25"/>
  <cols>
    <col min="1" max="1" width="5.7109375" style="1061" customWidth="1"/>
    <col min="2" max="2" width="13.5703125" style="1061" customWidth="1"/>
    <col min="3" max="8" width="12.7109375" style="1061" customWidth="1"/>
    <col min="9" max="9" width="18" style="1061" customWidth="1"/>
    <col min="10" max="10" width="9.42578125" style="1061" customWidth="1"/>
    <col min="11" max="11" width="15.5703125" style="1061" customWidth="1"/>
    <col min="12" max="12" width="8.28515625" style="1061" customWidth="1"/>
    <col min="13" max="13" width="10.140625" style="1061" customWidth="1"/>
    <col min="14" max="14" width="8" style="1061" customWidth="1"/>
    <col min="15" max="15" width="13.85546875" style="1061" customWidth="1"/>
    <col min="16" max="16" width="0.5703125" style="1061" customWidth="1"/>
    <col min="17" max="17" width="1.7109375" style="1061" customWidth="1"/>
    <col min="18" max="16384" width="11.42578125" style="1061"/>
  </cols>
  <sheetData>
    <row r="1" spans="1:11" ht="125.1" customHeight="1" x14ac:dyDescent="0.25">
      <c r="A1" s="2040"/>
      <c r="B1" s="2040"/>
      <c r="C1" s="2040"/>
      <c r="D1" s="2040"/>
      <c r="E1" s="2040"/>
      <c r="F1" s="2040"/>
      <c r="G1" s="2040"/>
      <c r="H1" s="2040"/>
      <c r="I1" s="2040"/>
      <c r="J1" s="2040"/>
      <c r="K1" s="2040"/>
    </row>
    <row r="2" spans="1:11" ht="35.1" customHeight="1" x14ac:dyDescent="0.25">
      <c r="A2" s="1171"/>
      <c r="B2" s="1171"/>
      <c r="C2" s="1171"/>
      <c r="D2" s="1171"/>
      <c r="E2" s="1171"/>
      <c r="F2" s="1171"/>
      <c r="G2" s="1171"/>
      <c r="H2" s="1171"/>
      <c r="I2" s="1171"/>
      <c r="J2" s="1171"/>
      <c r="K2" s="1171"/>
    </row>
    <row r="3" spans="1:11" ht="35.1" customHeight="1" x14ac:dyDescent="0.25">
      <c r="A3" s="1171"/>
      <c r="B3" s="1171"/>
      <c r="C3" s="1171"/>
      <c r="D3" s="1171"/>
      <c r="E3" s="1171"/>
      <c r="F3" s="1171"/>
      <c r="G3" s="2042" t="s">
        <v>636</v>
      </c>
      <c r="H3" s="2042"/>
      <c r="I3" s="2042"/>
      <c r="J3" s="2018">
        <f>'DATOS %'!N15</f>
        <v>0</v>
      </c>
      <c r="K3" s="2018"/>
    </row>
    <row r="4" spans="1:11" ht="26.1" customHeight="1" x14ac:dyDescent="0.25">
      <c r="A4" s="2025" t="s">
        <v>42</v>
      </c>
      <c r="B4" s="2025"/>
      <c r="C4" s="2025"/>
      <c r="D4" s="2025"/>
      <c r="E4" s="1064"/>
      <c r="F4" s="1065"/>
    </row>
    <row r="5" spans="1:11" ht="18" customHeight="1" x14ac:dyDescent="0.25">
      <c r="A5" s="1066"/>
      <c r="B5" s="1066"/>
      <c r="C5" s="1066"/>
      <c r="D5" s="1065"/>
      <c r="E5" s="1065"/>
      <c r="F5" s="1065"/>
    </row>
    <row r="6" spans="1:11" ht="26.1" customHeight="1" x14ac:dyDescent="0.25">
      <c r="A6" s="1965" t="s">
        <v>408</v>
      </c>
      <c r="B6" s="1965"/>
      <c r="C6" s="1172"/>
      <c r="D6" s="2037">
        <f>'DATOS %'!K8</f>
        <v>0</v>
      </c>
      <c r="E6" s="2037"/>
      <c r="F6" s="2037"/>
      <c r="G6" s="2037"/>
      <c r="H6" s="2037"/>
      <c r="I6" s="2037"/>
      <c r="J6" s="2037"/>
      <c r="K6" s="2037"/>
    </row>
    <row r="7" spans="1:11" ht="26.1" customHeight="1" x14ac:dyDescent="0.25">
      <c r="A7" s="2036" t="s">
        <v>409</v>
      </c>
      <c r="B7" s="2036"/>
      <c r="C7" s="1169"/>
      <c r="D7" s="2037">
        <f>'DATOS %'!L8</f>
        <v>0</v>
      </c>
      <c r="E7" s="2037"/>
      <c r="F7" s="2037"/>
      <c r="G7" s="2037"/>
      <c r="H7" s="2037"/>
      <c r="I7" s="2037"/>
      <c r="J7" s="2037"/>
      <c r="K7" s="2037"/>
    </row>
    <row r="8" spans="1:11" ht="26.1" customHeight="1" x14ac:dyDescent="0.25">
      <c r="A8" s="2036" t="s">
        <v>432</v>
      </c>
      <c r="B8" s="2036"/>
      <c r="C8" s="1169"/>
      <c r="D8" s="2037">
        <f>'DATOS %'!M8</f>
        <v>0</v>
      </c>
      <c r="E8" s="2037"/>
      <c r="F8" s="2037"/>
      <c r="G8" s="2037"/>
      <c r="H8" s="2037"/>
      <c r="I8" s="2037"/>
      <c r="J8" s="2037"/>
      <c r="K8" s="2037"/>
    </row>
    <row r="9" spans="1:11" ht="26.1" customHeight="1" x14ac:dyDescent="0.25">
      <c r="A9" s="1173"/>
      <c r="B9" s="1173"/>
      <c r="C9" s="1066"/>
      <c r="D9" s="1065"/>
      <c r="E9" s="1065"/>
      <c r="F9" s="1065"/>
      <c r="G9" s="1065"/>
    </row>
    <row r="10" spans="1:11" ht="26.1" customHeight="1" x14ac:dyDescent="0.25">
      <c r="A10" s="1965" t="s">
        <v>410</v>
      </c>
      <c r="B10" s="1965"/>
      <c r="C10" s="1965"/>
      <c r="D10" s="1965"/>
      <c r="E10" s="2038" t="e">
        <f>'RT03-F11 %'!D3</f>
        <v>#N/A</v>
      </c>
      <c r="F10" s="2038"/>
      <c r="H10" s="2039" t="s">
        <v>411</v>
      </c>
      <c r="I10" s="2039"/>
      <c r="J10" s="2038">
        <f>'DATOS %'!I8</f>
        <v>0</v>
      </c>
      <c r="K10" s="2038"/>
    </row>
    <row r="11" spans="1:11" ht="26.1" customHeight="1" x14ac:dyDescent="0.25">
      <c r="A11" s="2032"/>
      <c r="B11" s="2032"/>
      <c r="C11" s="1067"/>
      <c r="D11" s="2032"/>
      <c r="E11" s="2032"/>
      <c r="F11" s="2032"/>
      <c r="I11" s="1068"/>
      <c r="J11" s="1068"/>
      <c r="K11" s="1068"/>
    </row>
    <row r="12" spans="1:11" ht="26.1" customHeight="1" x14ac:dyDescent="0.25">
      <c r="A12" s="2025" t="s">
        <v>45</v>
      </c>
      <c r="B12" s="2025"/>
      <c r="C12" s="2025"/>
      <c r="D12" s="2025"/>
      <c r="E12" s="2025"/>
      <c r="F12" s="2025"/>
      <c r="G12" s="2025"/>
      <c r="H12" s="2025"/>
      <c r="I12" s="2025"/>
      <c r="J12" s="2025"/>
      <c r="K12" s="1068"/>
    </row>
    <row r="13" spans="1:11" ht="18" customHeight="1" x14ac:dyDescent="0.25">
      <c r="A13" s="1172"/>
      <c r="B13" s="1172"/>
      <c r="C13" s="1172"/>
      <c r="D13" s="1172"/>
      <c r="E13" s="1172"/>
      <c r="F13" s="1069"/>
      <c r="G13" s="1070"/>
      <c r="H13" s="1070"/>
      <c r="I13" s="1071"/>
      <c r="J13" s="1071"/>
      <c r="K13" s="1068"/>
    </row>
    <row r="14" spans="1:11" ht="26.1" customHeight="1" x14ac:dyDescent="0.25">
      <c r="A14" s="1965" t="s">
        <v>24</v>
      </c>
      <c r="B14" s="1965"/>
      <c r="C14" s="1965"/>
      <c r="D14" s="1965"/>
      <c r="E14" s="2029" t="s">
        <v>404</v>
      </c>
      <c r="F14" s="2029"/>
      <c r="G14" s="2029"/>
      <c r="H14" s="2029"/>
      <c r="I14" s="1071"/>
      <c r="J14" s="1071"/>
      <c r="K14" s="1068"/>
    </row>
    <row r="15" spans="1:11" ht="26.1" customHeight="1" x14ac:dyDescent="0.25">
      <c r="A15" s="1965" t="s">
        <v>342</v>
      </c>
      <c r="B15" s="1965"/>
      <c r="C15" s="1965"/>
      <c r="D15" s="1965"/>
      <c r="E15" s="2034">
        <f>'DATOS %'!C15</f>
        <v>0</v>
      </c>
      <c r="F15" s="2034"/>
      <c r="G15" s="2034"/>
      <c r="H15" s="2034"/>
      <c r="I15" s="1170"/>
      <c r="J15" s="1071"/>
      <c r="K15" s="1068"/>
    </row>
    <row r="16" spans="1:11" ht="26.1" customHeight="1" x14ac:dyDescent="0.25">
      <c r="A16" s="1965" t="s">
        <v>341</v>
      </c>
      <c r="B16" s="1965"/>
      <c r="C16" s="1965"/>
      <c r="D16" s="1965"/>
      <c r="E16" s="2034">
        <f>'DATOS %'!E15</f>
        <v>0</v>
      </c>
      <c r="F16" s="2034"/>
      <c r="G16" s="2034"/>
      <c r="H16" s="2034"/>
      <c r="I16" s="1170"/>
      <c r="J16" s="1071"/>
      <c r="K16" s="1068"/>
    </row>
    <row r="17" spans="1:25" ht="26.1" customHeight="1" x14ac:dyDescent="0.25">
      <c r="A17" s="2028" t="s">
        <v>314</v>
      </c>
      <c r="B17" s="2028"/>
      <c r="C17" s="2028"/>
      <c r="D17" s="2028"/>
      <c r="E17" s="2035">
        <f>'DATOS %'!D15</f>
        <v>0</v>
      </c>
      <c r="F17" s="2035"/>
      <c r="G17" s="2035"/>
      <c r="H17" s="2035"/>
      <c r="I17" s="1170"/>
      <c r="J17" s="1071"/>
      <c r="K17" s="1068"/>
    </row>
    <row r="18" spans="1:25" ht="26.1" customHeight="1" x14ac:dyDescent="0.25">
      <c r="A18" s="2028" t="s">
        <v>33</v>
      </c>
      <c r="B18" s="2028"/>
      <c r="C18" s="2028"/>
      <c r="D18" s="2028"/>
      <c r="E18" s="2029" t="s">
        <v>389</v>
      </c>
      <c r="F18" s="2029"/>
      <c r="G18" s="2029"/>
      <c r="H18" s="2029"/>
      <c r="I18" s="1170"/>
      <c r="J18" s="1071"/>
      <c r="K18" s="1068"/>
    </row>
    <row r="19" spans="1:25" ht="26.1" customHeight="1" x14ac:dyDescent="0.25">
      <c r="A19" s="2028" t="s">
        <v>343</v>
      </c>
      <c r="B19" s="2028"/>
      <c r="C19" s="2028"/>
      <c r="D19" s="2028"/>
      <c r="E19" s="2029" t="s">
        <v>328</v>
      </c>
      <c r="F19" s="2029"/>
      <c r="G19" s="2029"/>
      <c r="H19" s="2029"/>
      <c r="I19" s="1170"/>
      <c r="J19" s="1070"/>
    </row>
    <row r="20" spans="1:25" ht="26.1" customHeight="1" x14ac:dyDescent="0.25">
      <c r="A20" s="2028" t="s">
        <v>344</v>
      </c>
      <c r="B20" s="2028"/>
      <c r="C20" s="2028"/>
      <c r="D20" s="2028"/>
      <c r="E20" s="2029" t="s">
        <v>328</v>
      </c>
      <c r="F20" s="2029"/>
      <c r="G20" s="2029"/>
      <c r="H20" s="2029"/>
      <c r="I20" s="1170"/>
      <c r="J20" s="1070"/>
    </row>
    <row r="21" spans="1:25" ht="26.1" customHeight="1" x14ac:dyDescent="0.25">
      <c r="A21" s="2028" t="s">
        <v>340</v>
      </c>
      <c r="B21" s="2028"/>
      <c r="C21" s="2028"/>
      <c r="D21" s="2028"/>
      <c r="E21" s="1377" t="str">
        <f>'DATOS %'!G15</f>
        <v>5 gal</v>
      </c>
      <c r="F21" s="1378"/>
      <c r="G21" s="1378"/>
      <c r="H21" s="1378"/>
      <c r="I21" s="1170"/>
      <c r="J21" s="1070"/>
      <c r="S21" s="2032"/>
      <c r="T21" s="2032"/>
      <c r="U21" s="2032"/>
      <c r="V21" s="2032"/>
      <c r="W21" s="2032"/>
    </row>
    <row r="22" spans="1:25" ht="26.1" customHeight="1" x14ac:dyDescent="0.25">
      <c r="A22" s="2028" t="s">
        <v>230</v>
      </c>
      <c r="B22" s="2028"/>
      <c r="C22" s="2028"/>
      <c r="D22" s="2028"/>
      <c r="E22" s="1379">
        <f>'DATOS %'!H14</f>
        <v>0</v>
      </c>
      <c r="F22" s="1380" t="e">
        <f>'DATOS %'!H15</f>
        <v>#N/A</v>
      </c>
      <c r="G22" s="1381"/>
      <c r="H22" s="1381"/>
      <c r="I22" s="1170"/>
      <c r="J22" s="1070"/>
      <c r="M22" s="1074"/>
      <c r="N22" s="1074"/>
      <c r="O22" s="1074"/>
      <c r="P22" s="1074"/>
      <c r="Q22" s="1074"/>
      <c r="R22" s="1074"/>
      <c r="S22" s="1074"/>
      <c r="T22" s="1074"/>
      <c r="U22" s="1074"/>
      <c r="V22" s="1074"/>
    </row>
    <row r="23" spans="1:25" ht="26.1" customHeight="1" x14ac:dyDescent="0.25">
      <c r="A23" s="2028" t="s">
        <v>313</v>
      </c>
      <c r="B23" s="2028"/>
      <c r="C23" s="2028"/>
      <c r="D23" s="2028"/>
      <c r="E23" s="2029" t="s">
        <v>345</v>
      </c>
      <c r="F23" s="2029"/>
      <c r="G23" s="2029"/>
      <c r="H23" s="2029"/>
      <c r="I23" s="1170"/>
      <c r="J23" s="1075"/>
      <c r="S23" s="2030"/>
      <c r="T23" s="2031"/>
      <c r="U23" s="2031"/>
      <c r="W23" s="2032"/>
      <c r="X23" s="2032"/>
      <c r="Y23" s="2032"/>
    </row>
    <row r="24" spans="1:25" ht="26.1" customHeight="1" x14ac:dyDescent="0.25">
      <c r="A24" s="2032"/>
      <c r="B24" s="2032"/>
      <c r="C24" s="2032"/>
      <c r="D24" s="2032"/>
      <c r="E24" s="2033"/>
      <c r="F24" s="2033"/>
      <c r="G24" s="2033"/>
      <c r="H24" s="2033"/>
      <c r="I24" s="1174"/>
    </row>
    <row r="25" spans="1:25" ht="23.1" customHeight="1" x14ac:dyDescent="0.25">
      <c r="A25" s="2025" t="s">
        <v>146</v>
      </c>
      <c r="B25" s="2025"/>
      <c r="C25" s="2025"/>
      <c r="D25" s="2025"/>
      <c r="E25" s="2025"/>
      <c r="F25" s="2025"/>
      <c r="G25" s="2025"/>
      <c r="H25" s="2025"/>
      <c r="I25" s="2025"/>
      <c r="J25" s="2025"/>
      <c r="K25" s="2025"/>
    </row>
    <row r="26" spans="1:25" ht="18" customHeight="1" x14ac:dyDescent="0.25">
      <c r="A26" s="1070"/>
      <c r="B26" s="1070"/>
      <c r="C26" s="1070"/>
      <c r="D26" s="1070"/>
      <c r="E26" s="1070"/>
      <c r="F26" s="1070"/>
      <c r="G26" s="1070"/>
      <c r="H26" s="1070"/>
      <c r="I26" s="1070"/>
      <c r="J26" s="1070"/>
      <c r="K26" s="1070"/>
    </row>
    <row r="27" spans="1:25" ht="23.1" customHeight="1" x14ac:dyDescent="0.25">
      <c r="A27" s="2026" t="str">
        <f>'DATOS %'!G8</f>
        <v>Laboratorio de calibración de masa y volumen, avenida carrera  50 # 26-55 Int 2,  piso 5.</v>
      </c>
      <c r="B27" s="2026"/>
      <c r="C27" s="2026"/>
      <c r="D27" s="2026"/>
      <c r="E27" s="2026"/>
      <c r="F27" s="2026"/>
      <c r="G27" s="2026"/>
      <c r="H27" s="2026"/>
      <c r="I27" s="2026"/>
      <c r="J27" s="2026"/>
      <c r="K27" s="2026"/>
    </row>
    <row r="28" spans="1:25" ht="26.1" customHeight="1" x14ac:dyDescent="0.25">
      <c r="A28" s="2027"/>
      <c r="B28" s="2027"/>
      <c r="C28" s="2027"/>
      <c r="D28" s="2027"/>
      <c r="E28" s="2027"/>
      <c r="F28" s="2027"/>
      <c r="G28" s="2027"/>
      <c r="H28" s="2027"/>
      <c r="I28" s="2027"/>
      <c r="J28" s="2027"/>
      <c r="K28" s="2027"/>
    </row>
    <row r="29" spans="1:25" ht="23.1" customHeight="1" x14ac:dyDescent="0.25">
      <c r="A29" s="2025" t="s">
        <v>304</v>
      </c>
      <c r="B29" s="2025"/>
      <c r="C29" s="2025"/>
      <c r="D29" s="2025"/>
      <c r="E29" s="2026">
        <f>'DATOS %'!J8</f>
        <v>0</v>
      </c>
      <c r="F29" s="2026"/>
      <c r="G29" s="1073"/>
      <c r="H29" s="1070"/>
      <c r="I29" s="1070"/>
      <c r="J29" s="1070"/>
      <c r="K29" s="1070"/>
    </row>
    <row r="30" spans="1:25" ht="26.1" customHeight="1" x14ac:dyDescent="0.25">
      <c r="A30" s="1070"/>
      <c r="B30" s="1070"/>
      <c r="C30" s="1070"/>
      <c r="D30" s="1070"/>
      <c r="E30" s="1070"/>
      <c r="F30" s="1072"/>
      <c r="G30" s="1072"/>
      <c r="H30" s="1070"/>
      <c r="I30" s="1070"/>
      <c r="J30" s="1070"/>
      <c r="K30" s="1070"/>
    </row>
    <row r="31" spans="1:25" ht="23.1" customHeight="1" x14ac:dyDescent="0.25">
      <c r="A31" s="1996" t="s">
        <v>346</v>
      </c>
      <c r="B31" s="1996"/>
      <c r="C31" s="1996"/>
      <c r="D31" s="1996"/>
      <c r="E31" s="1996"/>
      <c r="F31" s="1996"/>
      <c r="G31" s="1996"/>
      <c r="H31" s="1996"/>
      <c r="I31" s="1180"/>
      <c r="J31" s="1076"/>
      <c r="K31" s="1070"/>
    </row>
    <row r="32" spans="1:25" ht="18" customHeight="1" x14ac:dyDescent="0.25">
      <c r="A32" s="1170"/>
      <c r="B32" s="1170"/>
      <c r="C32" s="1170"/>
      <c r="D32" s="1170"/>
      <c r="E32" s="1170"/>
      <c r="F32" s="1170"/>
      <c r="G32" s="1170"/>
      <c r="H32" s="1170"/>
      <c r="I32" s="1170"/>
      <c r="J32" s="1070"/>
      <c r="K32" s="1070"/>
    </row>
    <row r="33" spans="1:11" ht="20.100000000000001" customHeight="1" x14ac:dyDescent="0.25">
      <c r="A33" s="2023" t="s">
        <v>532</v>
      </c>
      <c r="B33" s="2023"/>
      <c r="C33" s="2023"/>
      <c r="D33" s="2023"/>
      <c r="E33" s="2023"/>
      <c r="F33" s="2023"/>
      <c r="G33" s="2023"/>
      <c r="H33" s="2023"/>
      <c r="I33" s="2023"/>
      <c r="J33" s="2023"/>
      <c r="K33" s="2023"/>
    </row>
    <row r="34" spans="1:11" ht="20.100000000000001" customHeight="1" x14ac:dyDescent="0.25">
      <c r="A34" s="2023"/>
      <c r="B34" s="2023"/>
      <c r="C34" s="2023"/>
      <c r="D34" s="2023"/>
      <c r="E34" s="2023"/>
      <c r="F34" s="2023"/>
      <c r="G34" s="2023"/>
      <c r="H34" s="2023"/>
      <c r="I34" s="2023"/>
      <c r="J34" s="2023"/>
      <c r="K34" s="2023"/>
    </row>
    <row r="35" spans="1:11" ht="18" customHeight="1" x14ac:dyDescent="0.25">
      <c r="A35" s="1077"/>
      <c r="B35" s="1077"/>
      <c r="C35" s="1077"/>
      <c r="D35" s="1077"/>
      <c r="E35" s="1077"/>
      <c r="F35" s="1077"/>
      <c r="G35" s="1077"/>
      <c r="H35" s="1077"/>
      <c r="I35" s="1077"/>
      <c r="J35" s="1077"/>
      <c r="K35" s="1077"/>
    </row>
    <row r="36" spans="1:11" ht="125.1" customHeight="1" x14ac:dyDescent="0.25">
      <c r="A36" s="1077"/>
      <c r="B36" s="1077"/>
      <c r="C36" s="1077"/>
      <c r="D36" s="1077"/>
      <c r="E36" s="1077"/>
      <c r="F36" s="1077"/>
      <c r="G36" s="1077"/>
      <c r="H36" s="1077"/>
      <c r="I36" s="1077"/>
      <c r="J36" s="1077"/>
      <c r="K36" s="1077"/>
    </row>
    <row r="37" spans="1:11" ht="35.1" customHeight="1" x14ac:dyDescent="0.25">
      <c r="A37" s="1077"/>
      <c r="B37" s="1077"/>
      <c r="C37" s="1077"/>
      <c r="D37" s="1077"/>
      <c r="E37" s="1077"/>
      <c r="F37" s="1077"/>
      <c r="G37" s="1077"/>
      <c r="H37" s="1077"/>
      <c r="I37" s="1077"/>
      <c r="J37" s="1077"/>
      <c r="K37" s="1077"/>
    </row>
    <row r="38" spans="1:11" ht="35.1" customHeight="1" x14ac:dyDescent="0.25">
      <c r="A38" s="1078"/>
      <c r="B38" s="1078"/>
      <c r="C38" s="1078"/>
      <c r="D38" s="1078"/>
      <c r="E38" s="1078"/>
      <c r="F38" s="1078"/>
      <c r="G38" s="2042" t="s">
        <v>636</v>
      </c>
      <c r="H38" s="2042"/>
      <c r="I38" s="2042"/>
      <c r="J38" s="2018">
        <f>J3</f>
        <v>0</v>
      </c>
      <c r="K38" s="2018"/>
    </row>
    <row r="39" spans="1:11" ht="24.95" customHeight="1" x14ac:dyDescent="0.25">
      <c r="A39" s="1078"/>
      <c r="B39" s="1078"/>
      <c r="C39" s="1078"/>
      <c r="D39" s="1078"/>
      <c r="E39" s="1078"/>
      <c r="F39" s="1078"/>
      <c r="G39" s="1078"/>
      <c r="H39" s="1062"/>
      <c r="I39" s="1080"/>
      <c r="J39" s="1080"/>
      <c r="K39" s="1171"/>
    </row>
    <row r="40" spans="1:11" ht="18" customHeight="1" x14ac:dyDescent="0.25">
      <c r="A40" s="1078"/>
      <c r="B40" s="1078"/>
      <c r="C40" s="1078"/>
      <c r="D40" s="1078"/>
      <c r="E40" s="1078"/>
      <c r="F40" s="1078"/>
      <c r="G40" s="1078"/>
      <c r="H40" s="1062"/>
      <c r="I40" s="1080"/>
      <c r="J40" s="1080"/>
      <c r="K40" s="1171"/>
    </row>
    <row r="41" spans="1:11" ht="18" customHeight="1" x14ac:dyDescent="0.25">
      <c r="A41" s="1078"/>
      <c r="B41" s="1078"/>
      <c r="C41" s="1078"/>
      <c r="D41" s="1078"/>
      <c r="E41" s="1078"/>
      <c r="F41" s="1078"/>
      <c r="G41" s="1078"/>
      <c r="H41" s="1062"/>
      <c r="I41" s="1080"/>
      <c r="J41" s="1080"/>
      <c r="K41" s="1171"/>
    </row>
    <row r="42" spans="1:11" ht="15.75" customHeight="1" x14ac:dyDescent="0.25">
      <c r="A42" s="1078"/>
      <c r="B42" s="1078"/>
      <c r="C42" s="1078"/>
      <c r="D42" s="1078"/>
      <c r="E42" s="1078"/>
      <c r="F42" s="1078"/>
      <c r="G42" s="1078"/>
      <c r="H42" s="1062"/>
      <c r="I42" s="1080"/>
      <c r="J42" s="1080"/>
      <c r="K42" s="1171"/>
    </row>
    <row r="43" spans="1:11" s="1083" customFormat="1" ht="23.1" customHeight="1" x14ac:dyDescent="0.2">
      <c r="A43" s="2024" t="s">
        <v>38</v>
      </c>
      <c r="B43" s="2024"/>
      <c r="C43" s="1081"/>
      <c r="D43" s="1081"/>
      <c r="E43" s="1081"/>
      <c r="F43" s="1081"/>
      <c r="G43" s="1081"/>
      <c r="H43" s="1081"/>
      <c r="I43" s="1081"/>
      <c r="J43" s="1082"/>
    </row>
    <row r="44" spans="1:11" s="1083" customFormat="1" ht="24.95" customHeight="1" x14ac:dyDescent="0.2">
      <c r="A44" s="1084"/>
      <c r="B44" s="1081"/>
      <c r="C44" s="1081"/>
      <c r="D44" s="1081"/>
      <c r="E44" s="1081"/>
      <c r="F44" s="1081"/>
      <c r="G44" s="1081"/>
      <c r="H44" s="1081"/>
      <c r="I44" s="1081"/>
      <c r="J44" s="1082"/>
    </row>
    <row r="45" spans="1:11" s="1083" customFormat="1" ht="24.95" customHeight="1" x14ac:dyDescent="0.2">
      <c r="A45" s="1081"/>
      <c r="B45" s="1085"/>
      <c r="C45" s="2020" t="s">
        <v>37</v>
      </c>
      <c r="D45" s="2020"/>
      <c r="E45" s="2020"/>
      <c r="F45" s="2020"/>
      <c r="G45" s="2020"/>
      <c r="H45" s="2020"/>
      <c r="I45" s="2020"/>
      <c r="J45" s="2020"/>
      <c r="K45" s="2020"/>
    </row>
    <row r="46" spans="1:11" s="1083" customFormat="1" ht="12.95" customHeight="1" x14ac:dyDescent="0.2">
      <c r="A46" s="1086"/>
      <c r="B46" s="1086"/>
      <c r="C46" s="1087"/>
      <c r="D46" s="1087"/>
      <c r="E46" s="1087"/>
      <c r="F46" s="1087"/>
      <c r="G46" s="1088"/>
      <c r="H46" s="1089"/>
      <c r="I46" s="1090"/>
      <c r="J46" s="1090"/>
      <c r="K46" s="1088"/>
    </row>
    <row r="47" spans="1:11" s="1083" customFormat="1" ht="15.95" customHeight="1" x14ac:dyDescent="0.2">
      <c r="A47" s="1081"/>
      <c r="B47" s="1091"/>
      <c r="C47" s="2019" t="s">
        <v>301</v>
      </c>
      <c r="D47" s="2019"/>
      <c r="E47" s="2019"/>
      <c r="F47" s="2019"/>
      <c r="G47" s="2019"/>
      <c r="H47" s="2019"/>
      <c r="I47" s="2019"/>
      <c r="J47" s="2019"/>
      <c r="K47" s="2019"/>
    </row>
    <row r="48" spans="1:11" s="1083" customFormat="1" ht="15.95" customHeight="1" x14ac:dyDescent="0.2">
      <c r="A48" s="1081"/>
      <c r="B48" s="1091"/>
      <c r="C48" s="2019"/>
      <c r="D48" s="2019"/>
      <c r="E48" s="2019"/>
      <c r="F48" s="2019"/>
      <c r="G48" s="2019"/>
      <c r="H48" s="2019"/>
      <c r="I48" s="2019"/>
      <c r="J48" s="2019"/>
      <c r="K48" s="2019"/>
    </row>
    <row r="49" spans="1:11" s="1083" customFormat="1" ht="12.95" customHeight="1" x14ac:dyDescent="0.2">
      <c r="A49" s="1081"/>
      <c r="B49" s="1091"/>
      <c r="C49" s="1175"/>
      <c r="D49" s="1175"/>
      <c r="E49" s="1175"/>
      <c r="F49" s="1175"/>
      <c r="G49" s="1175"/>
      <c r="H49" s="1175"/>
      <c r="I49" s="1175"/>
      <c r="J49" s="1175"/>
      <c r="K49" s="1175"/>
    </row>
    <row r="50" spans="1:11" s="1083" customFormat="1" ht="24.95" customHeight="1" x14ac:dyDescent="0.2">
      <c r="A50" s="1081"/>
      <c r="B50" s="1081"/>
      <c r="C50" s="2020" t="s">
        <v>46</v>
      </c>
      <c r="D50" s="2020"/>
      <c r="E50" s="2020"/>
      <c r="F50" s="2020"/>
      <c r="G50" s="2020"/>
      <c r="H50" s="2020"/>
      <c r="I50" s="2020"/>
      <c r="J50" s="2020"/>
      <c r="K50" s="2020"/>
    </row>
    <row r="51" spans="1:11" s="1083" customFormat="1" ht="12.95" customHeight="1" x14ac:dyDescent="0.2">
      <c r="A51" s="1081"/>
      <c r="B51" s="1081"/>
      <c r="C51" s="1175"/>
      <c r="D51" s="1175"/>
      <c r="E51" s="1175"/>
      <c r="F51" s="1175"/>
      <c r="G51" s="1175"/>
      <c r="H51" s="1175"/>
      <c r="I51" s="1175"/>
      <c r="J51" s="1175"/>
      <c r="K51" s="1175"/>
    </row>
    <row r="52" spans="1:11" s="1083" customFormat="1" ht="24.95" customHeight="1" x14ac:dyDescent="0.2">
      <c r="A52" s="1081"/>
      <c r="B52" s="1081"/>
      <c r="C52" s="2019" t="s">
        <v>302</v>
      </c>
      <c r="D52" s="2019"/>
      <c r="E52" s="2019"/>
      <c r="F52" s="2019"/>
      <c r="G52" s="2019"/>
      <c r="H52" s="2019"/>
      <c r="I52" s="2019"/>
      <c r="J52" s="2019"/>
      <c r="K52" s="2019"/>
    </row>
    <row r="53" spans="1:11" s="1083" customFormat="1" ht="12.95" customHeight="1" x14ac:dyDescent="0.2">
      <c r="A53" s="1081"/>
      <c r="B53" s="1081"/>
      <c r="C53" s="1175"/>
      <c r="D53" s="1175"/>
      <c r="E53" s="1175"/>
      <c r="F53" s="1175"/>
      <c r="G53" s="1175"/>
      <c r="H53" s="1175"/>
      <c r="I53" s="1175"/>
      <c r="J53" s="1175"/>
      <c r="K53" s="1175"/>
    </row>
    <row r="54" spans="1:11" s="1083" customFormat="1" ht="24.95" customHeight="1" x14ac:dyDescent="0.2">
      <c r="A54" s="1081"/>
      <c r="B54" s="1081"/>
      <c r="C54" s="2019" t="s">
        <v>47</v>
      </c>
      <c r="D54" s="2019"/>
      <c r="E54" s="2019"/>
      <c r="F54" s="2019"/>
      <c r="G54" s="2019"/>
      <c r="H54" s="2019"/>
      <c r="I54" s="2019"/>
      <c r="J54" s="2019"/>
      <c r="K54" s="2019"/>
    </row>
    <row r="55" spans="1:11" s="1083" customFormat="1" ht="12.95" customHeight="1" x14ac:dyDescent="0.2">
      <c r="A55" s="1081"/>
      <c r="B55" s="1081"/>
      <c r="C55" s="2019"/>
      <c r="D55" s="2019"/>
      <c r="E55" s="2019"/>
      <c r="F55" s="2019"/>
      <c r="G55" s="2019"/>
      <c r="H55" s="2019"/>
      <c r="I55" s="2019"/>
      <c r="J55" s="2019"/>
      <c r="K55" s="1175"/>
    </row>
    <row r="56" spans="1:11" s="1083" customFormat="1" ht="24.95" customHeight="1" x14ac:dyDescent="0.2">
      <c r="A56" s="1081"/>
      <c r="B56" s="1083" t="s">
        <v>12</v>
      </c>
      <c r="C56" s="2019" t="s">
        <v>48</v>
      </c>
      <c r="D56" s="2019"/>
      <c r="E56" s="2019"/>
      <c r="F56" s="2019"/>
      <c r="G56" s="2019"/>
      <c r="H56" s="2019"/>
      <c r="I56" s="2019"/>
      <c r="J56" s="2019"/>
      <c r="K56" s="2019"/>
    </row>
    <row r="57" spans="1:11" s="1083" customFormat="1" ht="12.95" customHeight="1" x14ac:dyDescent="0.2">
      <c r="A57" s="1081"/>
      <c r="C57" s="2019"/>
      <c r="D57" s="2019"/>
      <c r="E57" s="2019"/>
      <c r="F57" s="2019"/>
      <c r="G57" s="2019"/>
      <c r="H57" s="2019"/>
      <c r="I57" s="2019"/>
      <c r="J57" s="2019"/>
      <c r="K57" s="1175"/>
    </row>
    <row r="58" spans="1:11" s="1083" customFormat="1" ht="24.95" customHeight="1" x14ac:dyDescent="0.2">
      <c r="A58" s="1081"/>
      <c r="B58" s="1081"/>
      <c r="C58" s="2019" t="s">
        <v>49</v>
      </c>
      <c r="D58" s="2019"/>
      <c r="E58" s="2019"/>
      <c r="F58" s="2019"/>
      <c r="G58" s="2019"/>
      <c r="H58" s="2019"/>
      <c r="I58" s="2019"/>
      <c r="J58" s="2019"/>
      <c r="K58" s="2019"/>
    </row>
    <row r="59" spans="1:11" s="1083" customFormat="1" ht="12.95" customHeight="1" x14ac:dyDescent="0.2">
      <c r="A59" s="1081"/>
      <c r="B59" s="1081"/>
      <c r="C59" s="2019"/>
      <c r="D59" s="2019"/>
      <c r="E59" s="2019"/>
      <c r="F59" s="2019"/>
      <c r="G59" s="2019"/>
      <c r="H59" s="2019"/>
      <c r="I59" s="2019"/>
      <c r="J59" s="2019"/>
      <c r="K59" s="1175"/>
    </row>
    <row r="60" spans="1:11" s="1083" customFormat="1" ht="24.95" customHeight="1" x14ac:dyDescent="0.2">
      <c r="A60" s="1081"/>
      <c r="B60" s="1081"/>
      <c r="C60" s="2019" t="s">
        <v>534</v>
      </c>
      <c r="D60" s="2019"/>
      <c r="E60" s="2019"/>
      <c r="F60" s="2019"/>
      <c r="G60" s="2019"/>
      <c r="H60" s="2019"/>
      <c r="I60" s="2019"/>
      <c r="J60" s="2019"/>
      <c r="K60" s="2019"/>
    </row>
    <row r="61" spans="1:11" s="1083" customFormat="1" ht="12.95" customHeight="1" x14ac:dyDescent="0.2">
      <c r="A61" s="1081"/>
      <c r="B61" s="1081"/>
      <c r="C61" s="2019"/>
      <c r="D61" s="2019"/>
      <c r="E61" s="2019"/>
      <c r="F61" s="2019"/>
      <c r="G61" s="2019"/>
      <c r="H61" s="2019"/>
      <c r="I61" s="2019"/>
      <c r="J61" s="2019"/>
      <c r="K61" s="1175"/>
    </row>
    <row r="62" spans="1:11" s="1083" customFormat="1" ht="24.95" customHeight="1" x14ac:dyDescent="0.2">
      <c r="A62" s="1081"/>
      <c r="B62" s="1081"/>
      <c r="C62" s="2022" t="s">
        <v>584</v>
      </c>
      <c r="D62" s="2022"/>
      <c r="E62" s="2022"/>
      <c r="F62" s="2022"/>
      <c r="G62" s="1372">
        <f>'DATOS %'!F15</f>
        <v>15.56</v>
      </c>
      <c r="H62" s="1092"/>
      <c r="I62" s="1092"/>
      <c r="J62" s="1092"/>
      <c r="K62" s="1092"/>
    </row>
    <row r="63" spans="1:11" s="1083" customFormat="1" ht="12.95" customHeight="1" x14ac:dyDescent="0.2">
      <c r="A63" s="1081"/>
      <c r="B63" s="1081"/>
      <c r="C63" s="2019"/>
      <c r="D63" s="2019"/>
      <c r="E63" s="2019"/>
      <c r="F63" s="2019"/>
      <c r="G63" s="2019"/>
      <c r="H63" s="2019"/>
      <c r="I63" s="2019"/>
      <c r="J63" s="2019"/>
      <c r="K63" s="1175"/>
    </row>
    <row r="64" spans="1:11" s="1083" customFormat="1" ht="24.95" customHeight="1" x14ac:dyDescent="0.2">
      <c r="A64" s="1081"/>
      <c r="B64" s="1081"/>
      <c r="C64" s="2019" t="s">
        <v>412</v>
      </c>
      <c r="D64" s="2019"/>
      <c r="E64" s="2019"/>
      <c r="F64" s="2019"/>
      <c r="G64" s="2019"/>
      <c r="H64" s="2019"/>
      <c r="I64" s="2019"/>
      <c r="J64" s="2019"/>
      <c r="K64" s="1175"/>
    </row>
    <row r="65" spans="1:12" s="1083" customFormat="1" ht="12.95" customHeight="1" x14ac:dyDescent="0.25">
      <c r="A65" s="1081"/>
      <c r="B65" s="1081"/>
      <c r="C65" s="2019"/>
      <c r="D65" s="2019"/>
      <c r="E65" s="2019"/>
      <c r="F65" s="2019"/>
      <c r="G65" s="2019"/>
      <c r="H65" s="2019"/>
      <c r="I65" s="2019"/>
      <c r="J65" s="2019"/>
      <c r="K65" s="1175"/>
      <c r="L65" s="1061"/>
    </row>
    <row r="66" spans="1:12" s="1083" customFormat="1" ht="24.95" customHeight="1" x14ac:dyDescent="0.25">
      <c r="A66" s="1081"/>
      <c r="B66" s="1081"/>
      <c r="C66" s="2020" t="s">
        <v>413</v>
      </c>
      <c r="D66" s="2020"/>
      <c r="E66" s="2020"/>
      <c r="F66" s="2020"/>
      <c r="G66" s="2020"/>
      <c r="H66" s="2020"/>
      <c r="I66" s="1175"/>
      <c r="J66" s="1175"/>
      <c r="K66" s="1175"/>
      <c r="L66" s="1061"/>
    </row>
    <row r="67" spans="1:12" s="1083" customFormat="1" ht="12.95" customHeight="1" x14ac:dyDescent="0.25">
      <c r="A67" s="1081"/>
      <c r="B67" s="1081"/>
      <c r="C67" s="1175"/>
      <c r="D67" s="1175"/>
      <c r="E67" s="1175"/>
      <c r="F67" s="1175"/>
      <c r="G67" s="1175"/>
      <c r="H67" s="1175"/>
      <c r="I67" s="1175"/>
      <c r="J67" s="1175"/>
      <c r="K67" s="1175"/>
      <c r="L67" s="1061"/>
    </row>
    <row r="68" spans="1:12" s="1083" customFormat="1" ht="24.95" customHeight="1" x14ac:dyDescent="0.25">
      <c r="A68" s="1081"/>
      <c r="B68" s="1081"/>
      <c r="C68" s="2020" t="s">
        <v>414</v>
      </c>
      <c r="D68" s="2020"/>
      <c r="E68" s="2020"/>
      <c r="F68" s="2020"/>
      <c r="G68" s="2020"/>
      <c r="H68" s="2020"/>
      <c r="I68" s="1175"/>
      <c r="J68" s="1175"/>
      <c r="K68" s="1175"/>
      <c r="L68" s="1061"/>
    </row>
    <row r="69" spans="1:12" s="1083" customFormat="1" ht="12.95" customHeight="1" x14ac:dyDescent="0.25">
      <c r="A69" s="1081"/>
      <c r="B69" s="1081"/>
      <c r="C69" s="1082"/>
      <c r="D69" s="1082"/>
      <c r="E69" s="1082"/>
      <c r="F69" s="1082"/>
      <c r="G69" s="1082"/>
      <c r="H69" s="1082"/>
      <c r="I69" s="1093"/>
      <c r="J69" s="1093"/>
      <c r="K69" s="1061"/>
      <c r="L69" s="1061"/>
    </row>
    <row r="70" spans="1:12" ht="24.95" customHeight="1" x14ac:dyDescent="0.25">
      <c r="A70" s="1081"/>
      <c r="B70" s="1081"/>
      <c r="C70" s="1082"/>
      <c r="D70" s="1082"/>
      <c r="E70" s="1082"/>
      <c r="F70" s="1082"/>
      <c r="G70" s="1082"/>
      <c r="H70" s="1082"/>
      <c r="I70" s="1093"/>
      <c r="J70" s="1093"/>
    </row>
    <row r="71" spans="1:12" ht="23.1" customHeight="1" x14ac:dyDescent="0.25">
      <c r="A71" s="1996" t="s">
        <v>347</v>
      </c>
      <c r="B71" s="1996"/>
      <c r="C71" s="1996"/>
      <c r="D71" s="1996"/>
      <c r="E71" s="1996"/>
      <c r="F71" s="1174"/>
      <c r="G71" s="1174"/>
    </row>
    <row r="72" spans="1:12" ht="15.95" customHeight="1" x14ac:dyDescent="0.25">
      <c r="A72" s="1094"/>
      <c r="B72" s="1094"/>
      <c r="C72" s="1094"/>
      <c r="D72" s="1094"/>
      <c r="E72" s="1094"/>
      <c r="F72" s="1174"/>
      <c r="G72" s="1174"/>
      <c r="H72" s="1174"/>
      <c r="I72" s="1174"/>
      <c r="J72" s="1095"/>
    </row>
    <row r="73" spans="1:12" ht="20.100000000000001" customHeight="1" x14ac:dyDescent="0.25">
      <c r="A73" s="2021" t="s">
        <v>646</v>
      </c>
      <c r="B73" s="2021"/>
      <c r="C73" s="2021"/>
      <c r="D73" s="2021"/>
      <c r="E73" s="2021"/>
      <c r="F73" s="2021"/>
      <c r="G73" s="2021"/>
      <c r="H73" s="2021"/>
      <c r="I73" s="2021"/>
      <c r="J73" s="2021"/>
      <c r="K73" s="2021"/>
    </row>
    <row r="74" spans="1:12" ht="15" customHeight="1" thickBot="1" x14ac:dyDescent="0.3">
      <c r="A74" s="1289"/>
      <c r="B74" s="1289"/>
      <c r="C74" s="1289"/>
      <c r="D74" s="1289"/>
      <c r="E74" s="1289"/>
      <c r="F74" s="1289"/>
      <c r="G74" s="1289"/>
      <c r="H74" s="1289"/>
      <c r="I74" s="1289"/>
      <c r="J74" s="1289"/>
      <c r="K74" s="1289"/>
    </row>
    <row r="75" spans="1:12" ht="30" customHeight="1" thickBot="1" x14ac:dyDescent="0.3">
      <c r="A75" s="1264"/>
      <c r="B75" s="1264"/>
      <c r="C75" s="1743" t="s">
        <v>620</v>
      </c>
      <c r="D75" s="1745"/>
      <c r="E75" s="1743" t="s">
        <v>621</v>
      </c>
      <c r="F75" s="1745"/>
      <c r="G75" s="1743" t="s">
        <v>635</v>
      </c>
      <c r="H75" s="1745"/>
      <c r="I75" s="1264"/>
      <c r="J75" s="1099"/>
      <c r="K75" s="1098"/>
    </row>
    <row r="76" spans="1:12" ht="30" customHeight="1" thickBot="1" x14ac:dyDescent="0.3">
      <c r="A76" s="1264"/>
      <c r="B76" s="1159"/>
      <c r="C76" s="1295" t="s">
        <v>619</v>
      </c>
      <c r="D76" s="1296" t="s">
        <v>633</v>
      </c>
      <c r="E76" s="1295" t="s">
        <v>619</v>
      </c>
      <c r="F76" s="1296" t="s">
        <v>634</v>
      </c>
      <c r="G76" s="1295" t="s">
        <v>619</v>
      </c>
      <c r="H76" s="1296" t="s">
        <v>634</v>
      </c>
      <c r="I76" s="2016"/>
      <c r="J76" s="2016"/>
      <c r="K76" s="1098"/>
    </row>
    <row r="77" spans="1:12" ht="36" customHeight="1" thickBot="1" x14ac:dyDescent="0.3">
      <c r="A77" s="1290"/>
      <c r="B77" s="1294" t="s">
        <v>601</v>
      </c>
      <c r="C77" s="1291" t="e">
        <f>VLOOKUP($B$77,'DATOS %'!Q26:W28,2,FALSE)</f>
        <v>#N/A</v>
      </c>
      <c r="D77" s="1292" t="e">
        <f>VLOOKUP($B$77,'DATOS %'!Q26:W28,3,FALSE)</f>
        <v>#N/A</v>
      </c>
      <c r="E77" s="1292" t="e">
        <f>VLOOKUP($B$77,'DATOS %'!Q26:W28,4,FALSE)</f>
        <v>#N/A</v>
      </c>
      <c r="F77" s="1292" t="e">
        <f>VLOOKUP($B$77,'DATOS %'!Q26:W28,5,FALSE)</f>
        <v>#N/A</v>
      </c>
      <c r="G77" s="1293" t="e">
        <f>VLOOKUP($B$77,'DATOS %'!Q26:W28,6,FALSE)</f>
        <v>#N/A</v>
      </c>
      <c r="H77" s="1382" t="e">
        <f>VLOOKUP($B$77,'DATOS %'!Q26:W28,7,FALSE)</f>
        <v>#N/A</v>
      </c>
      <c r="I77" s="2017"/>
      <c r="J77" s="2017"/>
      <c r="K77" s="1098"/>
    </row>
    <row r="78" spans="1:12" ht="32.1" customHeight="1" x14ac:dyDescent="0.25">
      <c r="A78" s="1174"/>
    </row>
    <row r="79" spans="1:12" ht="125.1" customHeight="1" x14ac:dyDescent="0.25">
      <c r="A79" s="1174"/>
    </row>
    <row r="80" spans="1:12" ht="35.1" customHeight="1" x14ac:dyDescent="0.25">
      <c r="A80" s="1174"/>
    </row>
    <row r="81" spans="1:12" ht="35.1" customHeight="1" x14ac:dyDescent="0.25">
      <c r="A81" s="1174"/>
      <c r="G81" s="2042" t="s">
        <v>636</v>
      </c>
      <c r="H81" s="2042"/>
      <c r="I81" s="2042"/>
      <c r="J81" s="2018">
        <f>J3</f>
        <v>0</v>
      </c>
      <c r="K81" s="2018"/>
    </row>
    <row r="82" spans="1:12" ht="24.95" customHeight="1" x14ac:dyDescent="0.25">
      <c r="A82" s="1996" t="s">
        <v>348</v>
      </c>
      <c r="B82" s="1996"/>
      <c r="C82" s="1996"/>
      <c r="D82" s="1996"/>
      <c r="E82" s="1996"/>
      <c r="F82" s="1170"/>
      <c r="G82" s="1170"/>
      <c r="H82" s="1170"/>
      <c r="I82" s="1170"/>
      <c r="J82" s="1096"/>
      <c r="K82" s="1070"/>
    </row>
    <row r="83" spans="1:12" ht="9.9499999999999993" customHeight="1" x14ac:dyDescent="0.25">
      <c r="A83" s="1076"/>
      <c r="B83" s="1170"/>
      <c r="C83" s="1170"/>
      <c r="D83" s="1170"/>
      <c r="E83" s="1170"/>
      <c r="F83" s="1170"/>
      <c r="G83" s="1170"/>
      <c r="H83" s="1170"/>
      <c r="I83" s="1170"/>
      <c r="J83" s="1077"/>
      <c r="K83" s="1070"/>
    </row>
    <row r="84" spans="1:12" ht="17.100000000000001" customHeight="1" x14ac:dyDescent="0.25">
      <c r="A84" s="2005" t="s">
        <v>585</v>
      </c>
      <c r="B84" s="2005"/>
      <c r="C84" s="2005"/>
      <c r="D84" s="2005"/>
      <c r="E84" s="2005"/>
      <c r="F84" s="2005"/>
      <c r="G84" s="2005"/>
      <c r="H84" s="2005"/>
      <c r="I84" s="2005"/>
      <c r="J84" s="2005"/>
      <c r="K84" s="2005"/>
    </row>
    <row r="85" spans="1:12" ht="17.100000000000001" customHeight="1" x14ac:dyDescent="0.25">
      <c r="A85" s="2005"/>
      <c r="B85" s="2005"/>
      <c r="C85" s="2005"/>
      <c r="D85" s="2005"/>
      <c r="E85" s="2005"/>
      <c r="F85" s="2005"/>
      <c r="G85" s="2005"/>
      <c r="H85" s="2005"/>
      <c r="I85" s="2005"/>
      <c r="J85" s="2005"/>
      <c r="K85" s="2005"/>
    </row>
    <row r="86" spans="1:12" ht="15.95" customHeight="1" x14ac:dyDescent="0.25">
      <c r="A86" s="1097"/>
      <c r="B86" s="1097"/>
      <c r="C86" s="1097"/>
      <c r="D86" s="1097"/>
      <c r="E86" s="1097"/>
      <c r="F86" s="1097"/>
      <c r="G86" s="1097"/>
      <c r="H86" s="1097"/>
      <c r="I86" s="1097"/>
      <c r="J86" s="1097"/>
      <c r="K86" s="1098"/>
    </row>
    <row r="87" spans="1:12" s="1100" customFormat="1" ht="24.95" customHeight="1" x14ac:dyDescent="0.3">
      <c r="A87" s="1996" t="s">
        <v>349</v>
      </c>
      <c r="B87" s="1996"/>
      <c r="C87" s="1996"/>
      <c r="D87" s="1996"/>
      <c r="E87" s="1996"/>
      <c r="F87" s="1176"/>
      <c r="G87" s="1176"/>
      <c r="H87" s="1098"/>
      <c r="I87" s="1098"/>
      <c r="J87" s="1099"/>
      <c r="K87" s="1098"/>
    </row>
    <row r="88" spans="1:12" ht="9.9499999999999993" customHeight="1" x14ac:dyDescent="0.25">
      <c r="A88" s="1101"/>
      <c r="B88" s="1101"/>
      <c r="C88" s="1101"/>
      <c r="D88" s="1101"/>
      <c r="E88" s="1101"/>
      <c r="F88" s="1170"/>
      <c r="G88" s="1170"/>
      <c r="H88" s="1070"/>
      <c r="I88" s="1070"/>
      <c r="J88" s="1077"/>
      <c r="K88" s="1070"/>
    </row>
    <row r="89" spans="1:12" ht="42.75" customHeight="1" x14ac:dyDescent="0.25">
      <c r="A89" s="2005" t="s">
        <v>338</v>
      </c>
      <c r="B89" s="2005"/>
      <c r="C89" s="2005"/>
      <c r="D89" s="2005"/>
      <c r="E89" s="2005"/>
      <c r="F89" s="2005"/>
      <c r="G89" s="2005"/>
      <c r="H89" s="2005"/>
      <c r="I89" s="2005"/>
      <c r="J89" s="2005"/>
      <c r="K89" s="2005"/>
    </row>
    <row r="90" spans="1:12" ht="15.95" customHeight="1" thickBot="1" x14ac:dyDescent="0.3">
      <c r="A90" s="1102"/>
      <c r="B90" s="1102"/>
      <c r="C90" s="1102"/>
      <c r="D90" s="1102"/>
      <c r="E90" s="1102"/>
      <c r="F90" s="1102"/>
      <c r="G90" s="1102"/>
      <c r="H90" s="1102"/>
      <c r="I90" s="1102"/>
      <c r="J90" s="1102"/>
    </row>
    <row r="91" spans="1:12" ht="33" customHeight="1" thickBot="1" x14ac:dyDescent="0.3">
      <c r="A91" s="2006" t="s">
        <v>50</v>
      </c>
      <c r="B91" s="2007"/>
      <c r="C91" s="2008"/>
      <c r="D91" s="1177" t="s">
        <v>35</v>
      </c>
      <c r="E91" s="1967" t="s">
        <v>339</v>
      </c>
      <c r="F91" s="1981"/>
      <c r="G91" s="2006" t="s">
        <v>51</v>
      </c>
      <c r="H91" s="2007"/>
      <c r="I91" s="2006" t="s">
        <v>52</v>
      </c>
      <c r="J91" s="2008"/>
      <c r="K91" s="1103"/>
    </row>
    <row r="92" spans="1:12" ht="33" customHeight="1" x14ac:dyDescent="0.25">
      <c r="A92" s="2009" t="s">
        <v>390</v>
      </c>
      <c r="B92" s="2010"/>
      <c r="C92" s="2010"/>
      <c r="D92" s="1362" t="str">
        <f>'DATOS %'!D31</f>
        <v>Serhapin test Measure</v>
      </c>
      <c r="E92" s="2011" t="s">
        <v>415</v>
      </c>
      <c r="F92" s="2012"/>
      <c r="G92" s="2013" t="str">
        <f>'DATOS %'!E31</f>
        <v xml:space="preserve">16-5935702    C-I V-005         </v>
      </c>
      <c r="H92" s="2014"/>
      <c r="I92" s="2013" t="str">
        <f>'DATOS %'!L31</f>
        <v xml:space="preserve">INM 5053 </v>
      </c>
      <c r="J92" s="2015"/>
      <c r="K92" s="1103"/>
    </row>
    <row r="93" spans="1:12" ht="33" customHeight="1" x14ac:dyDescent="0.25">
      <c r="A93" s="1998" t="s">
        <v>323</v>
      </c>
      <c r="B93" s="1999"/>
      <c r="C93" s="1999"/>
      <c r="D93" s="1363" t="str">
        <f>'DATOS %'!D38</f>
        <v xml:space="preserve">Lufft </v>
      </c>
      <c r="E93" s="2000" t="s">
        <v>422</v>
      </c>
      <c r="F93" s="2001"/>
      <c r="G93" s="2002" t="str">
        <f>'DATOS %'!E44</f>
        <v xml:space="preserve">004,0816,1212,006 / pt 347980,002     </v>
      </c>
      <c r="H93" s="2003"/>
      <c r="I93" s="2002" t="str">
        <f>'DATOS %'!L44</f>
        <v>INM 4539</v>
      </c>
      <c r="J93" s="2004"/>
      <c r="K93" s="1103"/>
    </row>
    <row r="94" spans="1:12" ht="33" customHeight="1" x14ac:dyDescent="0.25">
      <c r="A94" s="1998" t="s">
        <v>324</v>
      </c>
      <c r="B94" s="1999"/>
      <c r="C94" s="1999"/>
      <c r="D94" s="1363" t="str">
        <f>'DATOS %'!D44</f>
        <v xml:space="preserve">Lufft </v>
      </c>
      <c r="E94" s="2000" t="s">
        <v>422</v>
      </c>
      <c r="F94" s="2001"/>
      <c r="G94" s="2002" t="str">
        <f>'DATOS %'!E38</f>
        <v xml:space="preserve">22,1014,1212,,005 / pt 347980,004     </v>
      </c>
      <c r="H94" s="2003"/>
      <c r="I94" s="2002" t="str">
        <f>'DATOS %'!L38</f>
        <v>INM 4538</v>
      </c>
      <c r="J94" s="2004"/>
      <c r="K94" s="1103"/>
    </row>
    <row r="95" spans="1:12" ht="33" customHeight="1" thickBot="1" x14ac:dyDescent="0.3">
      <c r="A95" s="1988" t="s">
        <v>28</v>
      </c>
      <c r="B95" s="1989"/>
      <c r="C95" s="1989"/>
      <c r="D95" s="1364" t="e">
        <f>VLOOKUP(K95,'DATOS %'!$C$112:$L$118,2,FALSE)</f>
        <v>#N/A</v>
      </c>
      <c r="E95" s="1990" t="e">
        <f>VLOOKUP(K95,'DATOS %'!$C$112:$M$118,11,FALSE)</f>
        <v>#N/A</v>
      </c>
      <c r="F95" s="1991"/>
      <c r="G95" s="1992" t="e">
        <f>VLOOKUP(K95,'DATOS %'!$C$112:$L$118,3,FALSE)</f>
        <v>#N/A</v>
      </c>
      <c r="H95" s="1993"/>
      <c r="I95" s="1994" t="e">
        <f>VLOOKUP(K95,'DATOS %'!$C$112:$L$118,10,FALSE)</f>
        <v>#N/A</v>
      </c>
      <c r="J95" s="1995"/>
      <c r="K95" s="1104"/>
    </row>
    <row r="96" spans="1:12" ht="24.95" customHeight="1" x14ac:dyDescent="0.25">
      <c r="B96" s="1173"/>
      <c r="C96" s="1173"/>
      <c r="D96" s="1105"/>
      <c r="E96" s="1105"/>
      <c r="F96" s="1067"/>
      <c r="G96" s="1105"/>
      <c r="H96" s="1105"/>
      <c r="I96" s="1105"/>
      <c r="J96" s="1105"/>
      <c r="K96" s="1106"/>
      <c r="L96" s="1106"/>
    </row>
    <row r="97" spans="1:12" s="1100" customFormat="1" ht="24.95" customHeight="1" x14ac:dyDescent="0.3">
      <c r="A97" s="1996" t="s">
        <v>350</v>
      </c>
      <c r="B97" s="1996"/>
      <c r="C97" s="1996"/>
      <c r="D97" s="1996"/>
      <c r="E97" s="1996"/>
      <c r="F97" s="1996"/>
      <c r="G97" s="1996"/>
      <c r="H97" s="1996"/>
      <c r="I97" s="1996"/>
      <c r="J97" s="1996"/>
      <c r="K97" s="1996"/>
      <c r="L97" s="1107"/>
    </row>
    <row r="98" spans="1:12" s="1100" customFormat="1" ht="12" customHeight="1" x14ac:dyDescent="0.3">
      <c r="A98" s="1108"/>
      <c r="B98" s="1108"/>
      <c r="C98" s="1108"/>
      <c r="D98" s="1108"/>
      <c r="E98" s="1108"/>
      <c r="F98" s="1086"/>
      <c r="G98" s="1086"/>
      <c r="H98" s="1086"/>
      <c r="I98" s="1086"/>
      <c r="J98" s="1109"/>
      <c r="K98" s="1107"/>
      <c r="L98" s="1107"/>
    </row>
    <row r="99" spans="1:12" ht="15" customHeight="1" thickBot="1" x14ac:dyDescent="0.3">
      <c r="A99" s="1997" t="s">
        <v>303</v>
      </c>
      <c r="B99" s="1997"/>
      <c r="C99" s="1997"/>
      <c r="D99" s="1997"/>
      <c r="E99" s="1997"/>
      <c r="F99" s="1997"/>
      <c r="G99" s="1997"/>
      <c r="H99" s="1997"/>
      <c r="I99" s="1997"/>
      <c r="J99" s="1109"/>
      <c r="K99" s="1106"/>
      <c r="L99" s="1106"/>
    </row>
    <row r="100" spans="1:12" ht="30" customHeight="1" thickBot="1" x14ac:dyDescent="0.3">
      <c r="A100" s="1967" t="s">
        <v>29</v>
      </c>
      <c r="B100" s="1981"/>
      <c r="C100" s="1967" t="s">
        <v>30</v>
      </c>
      <c r="D100" s="1968"/>
      <c r="E100" s="1981"/>
      <c r="F100" s="1967" t="s">
        <v>320</v>
      </c>
      <c r="G100" s="1981"/>
      <c r="H100" s="1110" t="s">
        <v>391</v>
      </c>
      <c r="I100" s="1111"/>
      <c r="J100" s="1112" t="s">
        <v>426</v>
      </c>
      <c r="K100" s="1162" t="s">
        <v>607</v>
      </c>
    </row>
    <row r="101" spans="1:12" s="1106" customFormat="1" ht="24" customHeight="1" thickBot="1" x14ac:dyDescent="0.3">
      <c r="A101" s="1969" t="e">
        <f>'RT03-F11 %'!$F$29</f>
        <v>#N/A</v>
      </c>
      <c r="B101" s="1970"/>
      <c r="C101" s="1982">
        <f>'RT03-F11 %'!M30</f>
        <v>18927.055</v>
      </c>
      <c r="D101" s="1982"/>
      <c r="E101" s="1365" t="s">
        <v>4</v>
      </c>
      <c r="F101" s="1256" t="e">
        <f>'RT03-F11 %'!C122</f>
        <v>#N/A</v>
      </c>
      <c r="G101" s="1367" t="s">
        <v>4</v>
      </c>
      <c r="H101" s="253" t="e">
        <f>IF('RT03-F11 %'!F122&lt;=('CMC %'!I12),5,'RT03-F11 %'!F122)</f>
        <v>#N/A</v>
      </c>
      <c r="I101" s="1367" t="s">
        <v>4</v>
      </c>
      <c r="J101" s="1114" t="e">
        <f>'RT03-F11 %'!I122</f>
        <v>#N/A</v>
      </c>
      <c r="K101" s="1983" t="e">
        <f>IF(AND('Pc %'!H5&gt;=97.5%,'Pc %'!I5&lt;=2.5%),"SI","NO")</f>
        <v>#N/A</v>
      </c>
    </row>
    <row r="102" spans="1:12" s="1106" customFormat="1" ht="24" customHeight="1" thickBot="1" x14ac:dyDescent="0.3">
      <c r="A102" s="1971"/>
      <c r="B102" s="1972"/>
      <c r="C102" s="1975">
        <f>'RT03-F11 %'!M28</f>
        <v>1155.0000427166315</v>
      </c>
      <c r="D102" s="1975"/>
      <c r="E102" s="1366" t="s">
        <v>644</v>
      </c>
      <c r="F102" s="1115" t="e">
        <f>'RT03-F11 %'!C123</f>
        <v>#N/A</v>
      </c>
      <c r="G102" s="1368" t="s">
        <v>644</v>
      </c>
      <c r="H102" s="1116" t="e">
        <f>IF('RT03-F11 %'!F123&lt;=('CMC %'!J12),0.31,'RT03-F11 %'!F123)</f>
        <v>#N/A</v>
      </c>
      <c r="I102" s="1368" t="s">
        <v>644</v>
      </c>
      <c r="J102" s="1117" t="e">
        <f>'RT03-F11 %'!I123</f>
        <v>#N/A</v>
      </c>
      <c r="K102" s="1984"/>
    </row>
    <row r="103" spans="1:12" s="1106" customFormat="1" ht="24" customHeight="1" thickBot="1" x14ac:dyDescent="0.3">
      <c r="A103" s="1971"/>
      <c r="B103" s="1972"/>
      <c r="C103" s="1986">
        <f>'RT03-F11 %'!M27</f>
        <v>5</v>
      </c>
      <c r="D103" s="1987"/>
      <c r="E103" s="1366" t="s">
        <v>9</v>
      </c>
      <c r="F103" s="1118" t="e">
        <f>'RT03-F11 %'!C124</f>
        <v>#N/A</v>
      </c>
      <c r="G103" s="1368" t="s">
        <v>9</v>
      </c>
      <c r="H103" s="1119" t="e">
        <f>IF('RT03-F11 %'!F124&lt;=('CMC %'!K12),0.0013,'RT03-F11 %'!F124)</f>
        <v>#N/A</v>
      </c>
      <c r="I103" s="1368" t="s">
        <v>9</v>
      </c>
      <c r="J103" s="1120" t="e">
        <f>'RT03-F11 %'!I124</f>
        <v>#N/A</v>
      </c>
      <c r="K103" s="1984"/>
    </row>
    <row r="104" spans="1:12" ht="24" customHeight="1" thickBot="1" x14ac:dyDescent="0.3">
      <c r="A104" s="1973"/>
      <c r="B104" s="1974"/>
      <c r="C104" s="1979">
        <v>100</v>
      </c>
      <c r="D104" s="1980"/>
      <c r="E104" s="1366" t="s">
        <v>274</v>
      </c>
      <c r="F104" s="1121" t="e">
        <f>'RT03-F11 %'!C125</f>
        <v>#N/A</v>
      </c>
      <c r="G104" s="1366" t="s">
        <v>274</v>
      </c>
      <c r="H104" s="1122" t="e">
        <f>IF('RT03-F11 %'!F125&lt;=('CMC %'!L12),0.026,'RT03-F11 %'!F125)</f>
        <v>#N/A</v>
      </c>
      <c r="I104" s="1368" t="s">
        <v>274</v>
      </c>
      <c r="J104" s="1123" t="e">
        <f>'RT03-F11 %'!I125</f>
        <v>#N/A</v>
      </c>
      <c r="K104" s="1985"/>
    </row>
    <row r="105" spans="1:12" ht="20.100000000000001" customHeight="1" x14ac:dyDescent="0.25">
      <c r="A105" s="1124"/>
      <c r="B105" s="1125"/>
      <c r="C105" s="1126"/>
      <c r="D105" s="1126"/>
      <c r="E105" s="1127"/>
      <c r="F105" s="1128"/>
      <c r="G105" s="1127"/>
      <c r="H105" s="1129"/>
      <c r="I105" s="1129"/>
      <c r="J105" s="1129"/>
      <c r="K105" s="1129"/>
      <c r="L105" s="1129"/>
    </row>
    <row r="106" spans="1:12" ht="15" customHeight="1" thickBot="1" x14ac:dyDescent="0.3">
      <c r="A106" s="1130" t="s">
        <v>321</v>
      </c>
      <c r="B106" s="1130"/>
      <c r="C106" s="1130"/>
      <c r="D106" s="1130"/>
      <c r="E106" s="1130"/>
      <c r="F106" s="1130"/>
      <c r="G106" s="1130"/>
      <c r="H106" s="1130"/>
      <c r="I106" s="1130"/>
      <c r="J106" s="1130"/>
      <c r="K106" s="1130"/>
      <c r="L106" s="1130"/>
    </row>
    <row r="107" spans="1:12" s="1103" customFormat="1" ht="30" customHeight="1" thickBot="1" x14ac:dyDescent="0.25">
      <c r="A107" s="1131" t="s">
        <v>29</v>
      </c>
      <c r="B107" s="1132"/>
      <c r="C107" s="1131" t="s">
        <v>30</v>
      </c>
      <c r="D107" s="1132"/>
      <c r="E107" s="1131"/>
      <c r="F107" s="1967" t="s">
        <v>320</v>
      </c>
      <c r="G107" s="1968"/>
      <c r="H107" s="1110" t="s">
        <v>424</v>
      </c>
      <c r="I107" s="1111"/>
      <c r="J107" s="1112" t="s">
        <v>427</v>
      </c>
      <c r="K107" s="1162" t="s">
        <v>607</v>
      </c>
    </row>
    <row r="108" spans="1:12" ht="24" customHeight="1" thickBot="1" x14ac:dyDescent="0.3">
      <c r="A108" s="1969" t="e">
        <f>A101</f>
        <v>#N/A</v>
      </c>
      <c r="B108" s="1970"/>
      <c r="C108" s="1975">
        <f>C101</f>
        <v>18927.055</v>
      </c>
      <c r="D108" s="1975"/>
      <c r="E108" s="1366" t="s">
        <v>4</v>
      </c>
      <c r="F108" s="1113" t="e">
        <f>'Después de ajuste %'!C122</f>
        <v>#N/A</v>
      </c>
      <c r="G108" s="1371" t="s">
        <v>4</v>
      </c>
      <c r="H108" s="1114" t="e">
        <f>IF('Después de ajuste %'!F122&lt;=('CMC %'!I12),5,'Después de ajuste %'!F122)</f>
        <v>#N/A</v>
      </c>
      <c r="I108" s="1366" t="s">
        <v>4</v>
      </c>
      <c r="J108" s="1133" t="e">
        <f>'Después de ajuste %'!I122</f>
        <v>#N/A</v>
      </c>
      <c r="K108" s="1976" t="e">
        <f>IF(AND('Pc %'!H11&gt;=97.5%,'Pc %'!I11&lt;=2.5%),"SI","NO")</f>
        <v>#N/A</v>
      </c>
    </row>
    <row r="109" spans="1:12" ht="24" customHeight="1" thickBot="1" x14ac:dyDescent="0.3">
      <c r="A109" s="1971"/>
      <c r="B109" s="1972"/>
      <c r="C109" s="1975">
        <f>C102</f>
        <v>1155.0000427166315</v>
      </c>
      <c r="D109" s="1975"/>
      <c r="E109" s="1366" t="s">
        <v>644</v>
      </c>
      <c r="F109" s="1115" t="e">
        <f>'Después de ajuste %'!C123</f>
        <v>#N/A</v>
      </c>
      <c r="G109" s="1371" t="s">
        <v>644</v>
      </c>
      <c r="H109" s="1117" t="e">
        <f>IF('Después de ajuste %'!F123&lt;=('CMC %'!J12),0.31,'Después de ajuste %'!F123)</f>
        <v>#N/A</v>
      </c>
      <c r="I109" s="1366" t="s">
        <v>644</v>
      </c>
      <c r="J109" s="1134" t="e">
        <f>'Después de ajuste %'!I123</f>
        <v>#N/A</v>
      </c>
      <c r="K109" s="1977"/>
    </row>
    <row r="110" spans="1:12" ht="24" customHeight="1" thickBot="1" x14ac:dyDescent="0.3">
      <c r="A110" s="1971"/>
      <c r="B110" s="1972"/>
      <c r="C110" s="1369">
        <f>C103</f>
        <v>5</v>
      </c>
      <c r="D110" s="1370"/>
      <c r="E110" s="1366" t="s">
        <v>9</v>
      </c>
      <c r="F110" s="1118" t="e">
        <f>'Después de ajuste %'!C124</f>
        <v>#N/A</v>
      </c>
      <c r="G110" s="1371" t="s">
        <v>9</v>
      </c>
      <c r="H110" s="1120" t="e">
        <f>IF('Después de ajuste %'!F124&lt;=('CMC %'!K12),0.0013,'RT03-F11 %'!F124)</f>
        <v>#N/A</v>
      </c>
      <c r="I110" s="1366" t="s">
        <v>9</v>
      </c>
      <c r="J110" s="1135" t="e">
        <f>'Después de ajuste %'!I124</f>
        <v>#N/A</v>
      </c>
      <c r="K110" s="1977"/>
    </row>
    <row r="111" spans="1:12" ht="24" customHeight="1" thickBot="1" x14ac:dyDescent="0.3">
      <c r="A111" s="1973"/>
      <c r="B111" s="1974"/>
      <c r="C111" s="1979">
        <v>100</v>
      </c>
      <c r="D111" s="1980"/>
      <c r="E111" s="1366" t="s">
        <v>274</v>
      </c>
      <c r="F111" s="1121" t="e">
        <f>'Después de ajuste %'!C125</f>
        <v>#N/A</v>
      </c>
      <c r="G111" s="1366" t="s">
        <v>274</v>
      </c>
      <c r="H111" s="1122" t="e">
        <f>IF('Después de ajuste %'!F125&lt;=('CMC %'!L12),0.026,'Después de ajuste %'!F125)</f>
        <v>#N/A</v>
      </c>
      <c r="I111" s="1368" t="s">
        <v>274</v>
      </c>
      <c r="J111" s="1136" t="e">
        <f>'Después de ajuste %'!I125</f>
        <v>#N/A</v>
      </c>
      <c r="K111" s="1978"/>
    </row>
    <row r="112" spans="1:12" ht="11.25" customHeight="1" x14ac:dyDescent="0.25"/>
    <row r="113" spans="1:11" ht="30.75" customHeight="1" x14ac:dyDescent="0.25">
      <c r="A113" s="1960" t="s">
        <v>626</v>
      </c>
      <c r="B113" s="1960"/>
      <c r="C113" s="1960"/>
      <c r="D113" s="1960"/>
      <c r="E113" s="1960"/>
      <c r="F113" s="1960"/>
      <c r="G113" s="1960"/>
      <c r="H113" s="1960"/>
      <c r="I113" s="1960"/>
      <c r="J113" s="1960"/>
      <c r="K113" s="1960"/>
    </row>
    <row r="114" spans="1:11" ht="8.25" customHeight="1" thickBot="1" x14ac:dyDescent="0.3">
      <c r="A114" s="1137"/>
      <c r="B114" s="1137"/>
      <c r="C114" s="1137"/>
      <c r="D114" s="1137"/>
      <c r="E114" s="1137"/>
      <c r="F114" s="1137"/>
      <c r="G114" s="1137"/>
      <c r="H114" s="1137"/>
      <c r="I114" s="1137"/>
      <c r="J114" s="1137"/>
      <c r="K114" s="1137"/>
    </row>
    <row r="115" spans="1:11" ht="24.95" customHeight="1" thickBot="1" x14ac:dyDescent="0.3">
      <c r="A115" s="1137"/>
      <c r="B115" s="1137"/>
      <c r="C115" s="1137"/>
      <c r="D115" s="1106"/>
      <c r="E115" s="1373" t="s">
        <v>425</v>
      </c>
      <c r="F115" s="1374">
        <f>(C108*0.05%)</f>
        <v>9.4635274999999996</v>
      </c>
      <c r="G115" s="1373" t="s">
        <v>4</v>
      </c>
      <c r="H115" s="1137"/>
      <c r="I115" s="1138"/>
      <c r="J115" s="1137"/>
      <c r="K115" s="1137"/>
    </row>
    <row r="116" spans="1:11" ht="24.95" customHeight="1" x14ac:dyDescent="0.25">
      <c r="A116" s="1137"/>
      <c r="B116" s="1137"/>
      <c r="C116" s="1137"/>
      <c r="D116" s="1137"/>
      <c r="E116" s="1137"/>
      <c r="F116" s="1137"/>
      <c r="G116" s="1137"/>
      <c r="H116" s="1137"/>
      <c r="I116" s="1139"/>
      <c r="J116" s="1137"/>
      <c r="K116" s="1137"/>
    </row>
    <row r="117" spans="1:11" ht="15.95" customHeight="1" x14ac:dyDescent="0.25">
      <c r="A117" s="1137"/>
      <c r="B117" s="1137"/>
      <c r="C117" s="1137"/>
      <c r="D117" s="1137"/>
      <c r="E117" s="1137"/>
      <c r="F117" s="1137"/>
      <c r="G117" s="1137"/>
      <c r="H117" s="1137"/>
      <c r="I117" s="1138"/>
      <c r="J117" s="1137"/>
      <c r="K117" s="1137"/>
    </row>
    <row r="118" spans="1:11" ht="125.1" customHeight="1" x14ac:dyDescent="0.25">
      <c r="A118" s="1137"/>
      <c r="B118" s="1137"/>
      <c r="C118" s="1137"/>
      <c r="D118" s="1137"/>
      <c r="E118" s="1137"/>
      <c r="F118" s="1137"/>
      <c r="G118" s="1137"/>
      <c r="H118" s="1137"/>
      <c r="I118" s="1138"/>
      <c r="J118" s="1137"/>
      <c r="K118" s="1137"/>
    </row>
    <row r="119" spans="1:11" ht="35.1" customHeight="1" x14ac:dyDescent="0.25">
      <c r="A119" s="1137"/>
      <c r="B119" s="1137"/>
      <c r="C119" s="1137"/>
      <c r="D119" s="1137"/>
      <c r="E119" s="1137"/>
      <c r="F119" s="1137"/>
      <c r="G119" s="1137"/>
      <c r="H119" s="1137"/>
      <c r="I119" s="1138"/>
      <c r="J119" s="1137"/>
      <c r="K119" s="1137"/>
    </row>
    <row r="120" spans="1:11" ht="35.1" customHeight="1" thickBot="1" x14ac:dyDescent="0.3">
      <c r="A120" s="1137"/>
      <c r="B120" s="1137"/>
      <c r="C120" s="1137"/>
      <c r="D120" s="1137"/>
      <c r="E120" s="1137"/>
      <c r="F120" s="1137"/>
      <c r="G120" s="2042" t="s">
        <v>636</v>
      </c>
      <c r="H120" s="2042"/>
      <c r="I120" s="2042"/>
      <c r="J120" s="1961">
        <f>J3</f>
        <v>0</v>
      </c>
      <c r="K120" s="1962"/>
    </row>
    <row r="121" spans="1:11" ht="18" customHeight="1" thickBot="1" x14ac:dyDescent="0.3">
      <c r="A121" s="1963" t="s">
        <v>351</v>
      </c>
      <c r="B121" s="1963"/>
      <c r="C121" s="1963"/>
      <c r="D121" s="1963"/>
      <c r="E121" s="1963"/>
      <c r="F121" s="1140" t="e">
        <f>IF((F108)," SI","NO")</f>
        <v>#N/A</v>
      </c>
      <c r="G121" s="1070"/>
      <c r="H121" s="1141"/>
    </row>
    <row r="122" spans="1:11" ht="7.5" customHeight="1" thickBot="1" x14ac:dyDescent="0.3">
      <c r="A122" s="1142"/>
      <c r="B122" s="1142"/>
      <c r="C122" s="1142"/>
      <c r="D122" s="1142"/>
      <c r="E122" s="1142"/>
      <c r="F122" s="1070"/>
      <c r="G122" s="1070"/>
      <c r="H122" s="1070"/>
      <c r="I122" s="1143"/>
      <c r="J122" s="1105"/>
    </row>
    <row r="123" spans="1:11" ht="15" customHeight="1" thickBot="1" x14ac:dyDescent="0.3">
      <c r="A123" s="1964" t="s">
        <v>231</v>
      </c>
      <c r="B123" s="1964"/>
      <c r="C123" s="1964"/>
      <c r="D123" s="1964"/>
      <c r="E123" s="1964"/>
      <c r="F123" s="1144" t="s">
        <v>331</v>
      </c>
      <c r="G123" s="1145"/>
      <c r="H123" s="1179"/>
      <c r="I123" s="1145"/>
      <c r="J123" s="1174"/>
    </row>
    <row r="124" spans="1:11" ht="6" customHeight="1" x14ac:dyDescent="0.25">
      <c r="A124" s="1146"/>
      <c r="B124" s="1146"/>
      <c r="C124" s="1146"/>
      <c r="D124" s="1146"/>
      <c r="E124" s="1146"/>
      <c r="F124" s="1146"/>
      <c r="G124" s="1146"/>
      <c r="H124" s="1070"/>
      <c r="I124" s="1070"/>
    </row>
    <row r="125" spans="1:11" ht="16.5" customHeight="1" x14ac:dyDescent="0.25">
      <c r="A125" s="1965" t="s">
        <v>416</v>
      </c>
      <c r="B125" s="1965"/>
      <c r="C125" s="1965"/>
      <c r="D125" s="1965"/>
      <c r="E125" s="1965"/>
      <c r="F125" s="1965"/>
      <c r="G125" s="1965"/>
      <c r="H125" s="1965"/>
      <c r="I125" s="1965"/>
      <c r="J125" s="1067"/>
    </row>
    <row r="126" spans="1:11" ht="20.100000000000001" customHeight="1" thickBot="1" x14ac:dyDescent="0.3">
      <c r="A126" s="1170"/>
      <c r="B126" s="1170"/>
      <c r="C126" s="1170"/>
      <c r="D126" s="1170"/>
      <c r="E126" s="1257"/>
      <c r="F126" s="1966" t="s">
        <v>7</v>
      </c>
      <c r="G126" s="1966"/>
      <c r="H126" s="1070"/>
      <c r="I126" s="1070"/>
      <c r="J126" s="1070"/>
      <c r="K126" s="1070"/>
    </row>
    <row r="127" spans="1:11" ht="16.5" customHeight="1" x14ac:dyDescent="0.25">
      <c r="A127" s="1069"/>
      <c r="C127" s="1147" t="e">
        <f>'VERIFICACIÓN DE LA ESCALA %'!C56</f>
        <v>#N/A</v>
      </c>
      <c r="D127" s="1148" t="s">
        <v>4</v>
      </c>
      <c r="E127" s="1958" t="s">
        <v>322</v>
      </c>
      <c r="F127" s="1258" t="e">
        <f>'VERIFICACIÓN DE LA ESCALA %'!F56</f>
        <v>#N/A</v>
      </c>
      <c r="G127" s="1259" t="s">
        <v>4</v>
      </c>
      <c r="I127" s="1070"/>
      <c r="J127" s="1070"/>
      <c r="K127" s="1070"/>
    </row>
    <row r="128" spans="1:11" ht="17.25" customHeight="1" x14ac:dyDescent="0.25">
      <c r="A128" s="1170"/>
      <c r="C128" s="1149" t="e">
        <f>'VERIFICACIÓN DE LA ESCALA %'!C57</f>
        <v>#N/A</v>
      </c>
      <c r="D128" s="1150" t="s">
        <v>606</v>
      </c>
      <c r="E128" s="1958"/>
      <c r="F128" s="1260" t="e">
        <f>'VERIFICACIÓN DE LA ESCALA %'!F57</f>
        <v>#N/A</v>
      </c>
      <c r="G128" s="1259" t="s">
        <v>622</v>
      </c>
      <c r="I128" s="1070"/>
      <c r="J128" s="1070"/>
      <c r="K128" s="1070"/>
    </row>
    <row r="129" spans="1:12" ht="15" customHeight="1" thickBot="1" x14ac:dyDescent="0.3">
      <c r="A129" s="1170"/>
      <c r="C129" s="1151" t="e">
        <f>'VERIFICACIÓN DE LA ESCALA %'!C58</f>
        <v>#N/A</v>
      </c>
      <c r="D129" s="1152" t="s">
        <v>274</v>
      </c>
      <c r="E129" s="1958"/>
      <c r="F129" s="1261" t="e">
        <f>'VERIFICACIÓN DE LA ESCALA %'!F58</f>
        <v>#N/A</v>
      </c>
      <c r="G129" s="1259" t="s">
        <v>274</v>
      </c>
      <c r="I129" s="1070"/>
      <c r="J129" s="1070"/>
      <c r="K129" s="1070"/>
    </row>
    <row r="130" spans="1:12" ht="24.95" customHeight="1" x14ac:dyDescent="0.25">
      <c r="A130" s="1170"/>
      <c r="B130" s="1070"/>
      <c r="C130" s="1070"/>
      <c r="D130" s="1070"/>
      <c r="E130" s="1070"/>
      <c r="F130" s="1070"/>
      <c r="G130" s="1070"/>
      <c r="H130" s="1062"/>
      <c r="I130" s="1079"/>
      <c r="J130" s="1079"/>
      <c r="K130" s="1079"/>
    </row>
    <row r="131" spans="1:12" ht="12" customHeight="1" x14ac:dyDescent="0.25">
      <c r="A131" s="1959" t="s">
        <v>352</v>
      </c>
      <c r="B131" s="1959"/>
      <c r="C131" s="1959"/>
      <c r="D131" s="1959"/>
      <c r="E131" s="1959"/>
      <c r="F131" s="1959"/>
      <c r="G131" s="1071"/>
      <c r="H131" s="1070"/>
      <c r="I131" s="1070"/>
      <c r="J131" s="1070"/>
      <c r="K131" s="1070"/>
    </row>
    <row r="132" spans="1:12" ht="12" customHeight="1" x14ac:dyDescent="0.25">
      <c r="A132" s="1178"/>
      <c r="B132" s="1178"/>
      <c r="C132" s="1178"/>
      <c r="D132" s="1178"/>
      <c r="E132" s="1178"/>
      <c r="F132" s="1178"/>
      <c r="G132" s="1071"/>
      <c r="H132" s="1070"/>
      <c r="I132" s="1070"/>
      <c r="J132" s="1070"/>
      <c r="K132" s="1070"/>
    </row>
    <row r="133" spans="1:12" ht="33" customHeight="1" x14ac:dyDescent="0.25">
      <c r="A133" s="1383" t="s">
        <v>516</v>
      </c>
      <c r="B133" s="1956" t="s">
        <v>517</v>
      </c>
      <c r="C133" s="1956"/>
      <c r="D133" s="1956"/>
      <c r="E133" s="1956"/>
      <c r="F133" s="1956"/>
      <c r="G133" s="1956"/>
      <c r="H133" s="1956"/>
      <c r="I133" s="1956"/>
      <c r="J133" s="1956"/>
      <c r="K133" s="1956"/>
    </row>
    <row r="134" spans="1:12" ht="23.1" customHeight="1" x14ac:dyDescent="0.25">
      <c r="A134" s="1383" t="s">
        <v>516</v>
      </c>
      <c r="B134" s="1956" t="s">
        <v>518</v>
      </c>
      <c r="C134" s="1956"/>
      <c r="D134" s="1956"/>
      <c r="E134" s="1956"/>
      <c r="F134" s="1956"/>
      <c r="G134" s="1956"/>
      <c r="H134" s="1956"/>
      <c r="I134" s="1956"/>
      <c r="J134" s="1956"/>
      <c r="K134" s="1956"/>
    </row>
    <row r="135" spans="1:12" ht="33" customHeight="1" x14ac:dyDescent="0.25">
      <c r="A135" s="1383" t="s">
        <v>516</v>
      </c>
      <c r="B135" s="1956" t="s">
        <v>519</v>
      </c>
      <c r="C135" s="1956"/>
      <c r="D135" s="1956"/>
      <c r="E135" s="1956"/>
      <c r="F135" s="1956"/>
      <c r="G135" s="1956"/>
      <c r="H135" s="1956"/>
      <c r="I135" s="1956"/>
      <c r="J135" s="1956"/>
      <c r="K135" s="1956"/>
    </row>
    <row r="136" spans="1:12" s="1153" customFormat="1" ht="23.1" customHeight="1" x14ac:dyDescent="0.25">
      <c r="A136" s="1383" t="s">
        <v>516</v>
      </c>
      <c r="B136" s="1956" t="s">
        <v>520</v>
      </c>
      <c r="C136" s="1956"/>
      <c r="D136" s="1956"/>
      <c r="E136" s="1956"/>
      <c r="F136" s="1956"/>
      <c r="G136" s="1956"/>
      <c r="H136" s="1956"/>
      <c r="I136" s="1956"/>
      <c r="J136" s="1956"/>
      <c r="K136" s="1956"/>
    </row>
    <row r="137" spans="1:12" s="1153" customFormat="1" ht="23.1" customHeight="1" x14ac:dyDescent="0.25">
      <c r="A137" s="1383" t="s">
        <v>516</v>
      </c>
      <c r="B137" s="1956" t="s">
        <v>521</v>
      </c>
      <c r="C137" s="1956"/>
      <c r="D137" s="1956"/>
      <c r="E137" s="1956"/>
      <c r="F137" s="1956"/>
      <c r="G137" s="1956"/>
      <c r="H137" s="1956"/>
      <c r="I137" s="1956"/>
      <c r="J137" s="1956"/>
      <c r="K137" s="1956"/>
    </row>
    <row r="138" spans="1:12" s="1153" customFormat="1" ht="23.1" customHeight="1" x14ac:dyDescent="0.25">
      <c r="A138" s="1383" t="s">
        <v>516</v>
      </c>
      <c r="B138" s="1956" t="s">
        <v>522</v>
      </c>
      <c r="C138" s="1956"/>
      <c r="D138" s="1956"/>
      <c r="E138" s="1956"/>
      <c r="F138" s="1956"/>
      <c r="G138" s="1956"/>
      <c r="H138" s="1956"/>
      <c r="I138" s="1956"/>
      <c r="J138" s="1956"/>
      <c r="K138" s="1956"/>
    </row>
    <row r="139" spans="1:12" ht="23.1" customHeight="1" x14ac:dyDescent="0.25">
      <c r="A139" s="1383" t="s">
        <v>516</v>
      </c>
      <c r="B139" s="1956" t="s">
        <v>523</v>
      </c>
      <c r="C139" s="1956"/>
      <c r="D139" s="1956"/>
      <c r="E139" s="1956"/>
      <c r="F139" s="1956"/>
      <c r="G139" s="1956"/>
      <c r="H139" s="1956"/>
      <c r="I139" s="1956"/>
      <c r="J139" s="1956"/>
      <c r="K139" s="1956"/>
    </row>
    <row r="140" spans="1:12" s="1153" customFormat="1" ht="23.1" customHeight="1" x14ac:dyDescent="0.25">
      <c r="A140" s="1383" t="s">
        <v>516</v>
      </c>
      <c r="B140" s="1956" t="s">
        <v>524</v>
      </c>
      <c r="C140" s="1956"/>
      <c r="D140" s="1956"/>
      <c r="E140" s="1956"/>
      <c r="F140" s="1956"/>
      <c r="G140" s="1956"/>
      <c r="H140" s="1956"/>
      <c r="I140" s="1956"/>
      <c r="J140" s="1956"/>
      <c r="K140" s="1956"/>
      <c r="L140" s="1154"/>
    </row>
    <row r="141" spans="1:12" s="1153" customFormat="1" ht="23.1" customHeight="1" x14ac:dyDescent="0.25">
      <c r="A141" s="1383" t="s">
        <v>525</v>
      </c>
      <c r="B141" s="1956" t="s">
        <v>526</v>
      </c>
      <c r="C141" s="1956"/>
      <c r="D141" s="1956"/>
      <c r="E141" s="1956"/>
      <c r="F141" s="1956"/>
      <c r="G141" s="1956"/>
      <c r="H141" s="1956"/>
      <c r="I141" s="1956"/>
      <c r="J141" s="1956"/>
      <c r="K141" s="1956"/>
      <c r="L141" s="1154"/>
    </row>
    <row r="142" spans="1:12" ht="23.1" customHeight="1" x14ac:dyDescent="0.25">
      <c r="A142" s="1383" t="s">
        <v>525</v>
      </c>
      <c r="B142" s="1956" t="s">
        <v>593</v>
      </c>
      <c r="C142" s="1956"/>
      <c r="D142" s="1956"/>
      <c r="E142" s="1956"/>
      <c r="F142" s="1956"/>
      <c r="G142" s="1956"/>
      <c r="H142" s="1956"/>
      <c r="I142" s="1956"/>
      <c r="J142" s="1956"/>
      <c r="K142" s="1956"/>
      <c r="L142" s="1155"/>
    </row>
    <row r="143" spans="1:12" ht="23.1" customHeight="1" x14ac:dyDescent="0.25">
      <c r="A143" s="1383" t="s">
        <v>516</v>
      </c>
      <c r="B143" s="1956" t="s">
        <v>527</v>
      </c>
      <c r="C143" s="1956"/>
      <c r="D143" s="1956"/>
      <c r="E143" s="1956"/>
      <c r="F143" s="1956"/>
      <c r="G143" s="1956"/>
      <c r="H143" s="1956"/>
      <c r="I143" s="1956"/>
      <c r="J143" s="1956"/>
      <c r="K143" s="1956"/>
      <c r="L143" s="1156"/>
    </row>
    <row r="144" spans="1:12" ht="33" customHeight="1" x14ac:dyDescent="0.25">
      <c r="A144" s="1383" t="s">
        <v>516</v>
      </c>
      <c r="B144" s="1956" t="s">
        <v>528</v>
      </c>
      <c r="C144" s="1956"/>
      <c r="D144" s="1956"/>
      <c r="E144" s="1956"/>
      <c r="F144" s="1956"/>
      <c r="G144" s="1956"/>
      <c r="H144" s="1956"/>
      <c r="I144" s="1956"/>
      <c r="J144" s="1956"/>
      <c r="K144" s="1956"/>
    </row>
    <row r="145" spans="1:11" ht="23.1" customHeight="1" x14ac:dyDescent="0.25">
      <c r="A145" s="1383" t="s">
        <v>516</v>
      </c>
      <c r="B145" s="1956" t="s">
        <v>529</v>
      </c>
      <c r="C145" s="1956"/>
      <c r="D145" s="1956"/>
      <c r="E145" s="1956"/>
      <c r="F145" s="1956"/>
      <c r="G145" s="1956"/>
      <c r="H145" s="1956"/>
      <c r="I145" s="1956"/>
      <c r="J145" s="1956"/>
      <c r="K145" s="1956"/>
    </row>
    <row r="146" spans="1:11" ht="23.1" customHeight="1" x14ac:dyDescent="0.25">
      <c r="A146" s="1383" t="s">
        <v>516</v>
      </c>
      <c r="B146" s="1956" t="s">
        <v>530</v>
      </c>
      <c r="C146" s="1956"/>
      <c r="D146" s="1956"/>
      <c r="E146" s="1956"/>
      <c r="F146" s="1956"/>
      <c r="G146" s="1956"/>
      <c r="H146" s="1956"/>
      <c r="I146" s="1956"/>
      <c r="J146" s="1956"/>
      <c r="K146" s="1956"/>
    </row>
    <row r="147" spans="1:11" ht="23.1" customHeight="1" x14ac:dyDescent="0.25">
      <c r="A147" s="1383" t="s">
        <v>516</v>
      </c>
      <c r="B147" s="1956" t="s">
        <v>592</v>
      </c>
      <c r="C147" s="1956"/>
      <c r="D147" s="1956"/>
      <c r="E147" s="1956"/>
      <c r="F147" s="1956"/>
      <c r="G147" s="1956"/>
      <c r="H147" s="1956"/>
      <c r="I147" s="1956"/>
      <c r="J147" s="1956"/>
      <c r="K147" s="1956"/>
    </row>
    <row r="148" spans="1:11" ht="23.1" customHeight="1" x14ac:dyDescent="0.25">
      <c r="A148" s="1383" t="s">
        <v>516</v>
      </c>
      <c r="B148" s="1956" t="s">
        <v>531</v>
      </c>
      <c r="C148" s="1956"/>
      <c r="D148" s="1956"/>
      <c r="E148" s="1956"/>
      <c r="F148" s="1956"/>
      <c r="G148" s="1956"/>
      <c r="H148" s="1956"/>
      <c r="I148" s="1956"/>
      <c r="J148" s="1956"/>
      <c r="K148" s="1956"/>
    </row>
    <row r="149" spans="1:11" ht="23.1" customHeight="1" x14ac:dyDescent="0.25">
      <c r="A149" s="1383" t="s">
        <v>516</v>
      </c>
      <c r="B149" s="1956" t="s">
        <v>591</v>
      </c>
      <c r="C149" s="1956"/>
      <c r="D149" s="1956"/>
      <c r="E149" s="1956"/>
      <c r="F149" s="1956"/>
      <c r="G149" s="1956"/>
      <c r="H149" s="1956"/>
      <c r="I149" s="1956"/>
      <c r="J149" s="1956"/>
      <c r="K149" s="1956"/>
    </row>
    <row r="150" spans="1:11" ht="23.1" customHeight="1" x14ac:dyDescent="0.25">
      <c r="A150" s="1383" t="s">
        <v>525</v>
      </c>
      <c r="B150" s="1956" t="s">
        <v>590</v>
      </c>
      <c r="C150" s="1956"/>
      <c r="D150" s="1956"/>
      <c r="E150" s="1956"/>
      <c r="F150" s="1956"/>
      <c r="G150" s="1956"/>
      <c r="H150" s="1956"/>
      <c r="I150" s="1956"/>
      <c r="J150" s="1956"/>
      <c r="K150" s="1956"/>
    </row>
    <row r="151" spans="1:11" ht="33" customHeight="1" x14ac:dyDescent="0.25">
      <c r="A151" s="1383" t="s">
        <v>516</v>
      </c>
      <c r="B151" s="1956" t="s">
        <v>589</v>
      </c>
      <c r="C151" s="1956"/>
      <c r="D151" s="1956"/>
      <c r="E151" s="1956"/>
      <c r="F151" s="1956"/>
      <c r="G151" s="1956"/>
      <c r="H151" s="1956"/>
      <c r="I151" s="1956"/>
      <c r="J151" s="1956"/>
      <c r="K151" s="1956"/>
    </row>
    <row r="152" spans="1:11" ht="15" customHeight="1" x14ac:dyDescent="0.25">
      <c r="E152" s="1070"/>
      <c r="F152" s="1070"/>
      <c r="G152" s="1070"/>
      <c r="H152" s="1070"/>
      <c r="I152" s="1070"/>
      <c r="J152" s="1070"/>
      <c r="K152" s="1070"/>
    </row>
    <row r="153" spans="1:11" ht="15" customHeight="1" x14ac:dyDescent="0.25">
      <c r="A153" s="1955" t="s">
        <v>31</v>
      </c>
      <c r="B153" s="1955"/>
      <c r="C153" s="1955"/>
      <c r="D153" s="1955"/>
      <c r="E153" s="1070"/>
      <c r="F153" s="1070"/>
      <c r="G153" s="1070"/>
      <c r="H153" s="1070"/>
      <c r="I153" s="1070"/>
      <c r="J153" s="1070"/>
      <c r="K153" s="1070"/>
    </row>
    <row r="154" spans="1:11" ht="15" customHeight="1" x14ac:dyDescent="0.25">
      <c r="A154" s="1181"/>
      <c r="B154" s="1181"/>
      <c r="C154" s="1181"/>
      <c r="D154" s="1181"/>
      <c r="E154" s="1070"/>
      <c r="F154" s="1070"/>
      <c r="G154" s="1070"/>
      <c r="H154" s="1070"/>
      <c r="I154" s="1070"/>
      <c r="J154" s="1070"/>
      <c r="K154" s="1070"/>
    </row>
    <row r="155" spans="1:11" ht="15" customHeight="1" x14ac:dyDescent="0.25">
      <c r="A155" s="1070"/>
      <c r="B155" s="1070"/>
      <c r="C155" s="1070"/>
      <c r="D155" s="1070"/>
      <c r="E155" s="1070"/>
      <c r="F155" s="1070"/>
      <c r="G155" s="1070"/>
      <c r="H155" s="1070"/>
      <c r="I155" s="1070"/>
      <c r="J155" s="1070"/>
      <c r="K155" s="1070"/>
    </row>
    <row r="156" spans="1:11" ht="15" customHeight="1" x14ac:dyDescent="0.25">
      <c r="A156" s="1070"/>
      <c r="B156" s="1070"/>
      <c r="C156" s="1070"/>
      <c r="D156" s="1070"/>
      <c r="E156" s="1070"/>
      <c r="F156" s="1070"/>
      <c r="G156" s="1070"/>
      <c r="H156" s="1070"/>
      <c r="I156" s="1070"/>
      <c r="J156" s="1070"/>
      <c r="K156" s="1070"/>
    </row>
    <row r="157" spans="1:11" ht="15" customHeight="1" x14ac:dyDescent="0.25">
      <c r="A157" s="1157"/>
      <c r="B157" s="1075"/>
      <c r="C157" s="1957"/>
      <c r="D157" s="1957"/>
      <c r="E157" s="1957"/>
      <c r="F157" s="1957"/>
      <c r="G157" s="1075"/>
      <c r="H157" s="1957"/>
      <c r="I157" s="1957"/>
      <c r="J157" s="1957"/>
      <c r="K157" s="1157"/>
    </row>
    <row r="158" spans="1:11" ht="15" customHeight="1" x14ac:dyDescent="0.25">
      <c r="A158" s="1070"/>
      <c r="C158" s="1952" t="s">
        <v>32</v>
      </c>
      <c r="D158" s="1952"/>
      <c r="E158" s="1952"/>
      <c r="F158" s="1952"/>
      <c r="G158" s="1075"/>
      <c r="H158" s="1952" t="s">
        <v>515</v>
      </c>
      <c r="I158" s="1952"/>
      <c r="J158" s="1952"/>
      <c r="K158" s="1070"/>
    </row>
    <row r="159" spans="1:11" ht="21" customHeight="1" x14ac:dyDescent="0.25">
      <c r="C159" s="1953" t="e">
        <f>VLOOKUP(A157,'DATOS %'!P9:S13,4,FALSE)</f>
        <v>#N/A</v>
      </c>
      <c r="D159" s="1953"/>
      <c r="E159" s="1953"/>
      <c r="F159" s="1953"/>
      <c r="G159" s="1158"/>
      <c r="H159" s="1954" t="e">
        <f>VLOOKUP(K157,'DATOS %'!P9:U13,6,FALSE)</f>
        <v>#N/A</v>
      </c>
      <c r="I159" s="1954"/>
      <c r="J159" s="1954"/>
      <c r="K159" s="1158"/>
    </row>
    <row r="160" spans="1:11" ht="15" customHeight="1" x14ac:dyDescent="0.25">
      <c r="A160" s="1070"/>
      <c r="C160" s="1955" t="e">
        <f>VLOOKUP(A157,'DATOS %'!P9:S13,2,FALSE)</f>
        <v>#N/A</v>
      </c>
      <c r="D160" s="1955"/>
      <c r="E160" s="1955"/>
      <c r="F160" s="1955"/>
      <c r="G160" s="1063"/>
      <c r="H160" s="1955" t="e">
        <f>VLOOKUP(K157,'DATOS %'!P9:U13,2,FALSE)</f>
        <v>#N/A</v>
      </c>
      <c r="I160" s="1955"/>
      <c r="J160" s="1955"/>
      <c r="K160" s="1063"/>
    </row>
    <row r="161" spans="1:11" ht="15" customHeight="1" x14ac:dyDescent="0.25">
      <c r="D161" s="1070"/>
      <c r="E161" s="1070"/>
      <c r="F161" s="1070"/>
      <c r="G161" s="1070"/>
      <c r="H161" s="1070"/>
      <c r="I161" s="1070"/>
      <c r="J161" s="1070"/>
      <c r="K161" s="1070"/>
    </row>
    <row r="162" spans="1:11" ht="15" customHeight="1" x14ac:dyDescent="0.25">
      <c r="A162" s="1070"/>
      <c r="B162" s="2041" t="s">
        <v>428</v>
      </c>
      <c r="C162" s="2041"/>
      <c r="D162" s="1281" t="s">
        <v>429</v>
      </c>
      <c r="E162" s="1288"/>
      <c r="F162" s="1288"/>
      <c r="H162" s="1159"/>
      <c r="I162" s="1950" t="s">
        <v>514</v>
      </c>
      <c r="J162" s="1950"/>
      <c r="K162" s="1161" t="s">
        <v>429</v>
      </c>
    </row>
    <row r="163" spans="1:11" ht="15" customHeight="1" x14ac:dyDescent="0.25">
      <c r="A163" s="1070"/>
      <c r="J163" s="1070"/>
      <c r="K163" s="1070"/>
    </row>
    <row r="164" spans="1:11" ht="15.75" customHeight="1" x14ac:dyDescent="0.25">
      <c r="A164" s="1951" t="s">
        <v>232</v>
      </c>
      <c r="B164" s="1951"/>
      <c r="C164" s="1951"/>
      <c r="D164" s="1951"/>
      <c r="E164" s="1951"/>
      <c r="F164" s="1951"/>
      <c r="G164" s="1951"/>
      <c r="H164" s="1951"/>
      <c r="I164" s="1951"/>
      <c r="J164" s="1951"/>
      <c r="K164" s="1951"/>
    </row>
  </sheetData>
  <sheetProtection password="CF5C" sheet="1" objects="1" scenarios="1"/>
  <mergeCells count="158">
    <mergeCell ref="I162:J162"/>
    <mergeCell ref="B133:K133"/>
    <mergeCell ref="B134:K134"/>
    <mergeCell ref="B135:K135"/>
    <mergeCell ref="B136:K136"/>
    <mergeCell ref="B137:K137"/>
    <mergeCell ref="B138:K138"/>
    <mergeCell ref="B139:K139"/>
    <mergeCell ref="B140:K140"/>
    <mergeCell ref="B142:K142"/>
    <mergeCell ref="B143:K143"/>
    <mergeCell ref="B144:K144"/>
    <mergeCell ref="B146:K146"/>
    <mergeCell ref="B147:K147"/>
    <mergeCell ref="H160:J160"/>
    <mergeCell ref="B151:K151"/>
    <mergeCell ref="B150:K150"/>
    <mergeCell ref="B149:K149"/>
    <mergeCell ref="J38:K38"/>
    <mergeCell ref="J120:K120"/>
    <mergeCell ref="A43:B43"/>
    <mergeCell ref="C66:H66"/>
    <mergeCell ref="C64:J64"/>
    <mergeCell ref="A113:K113"/>
    <mergeCell ref="J81:K81"/>
    <mergeCell ref="C45:K45"/>
    <mergeCell ref="C57:J57"/>
    <mergeCell ref="C59:J59"/>
    <mergeCell ref="C50:K50"/>
    <mergeCell ref="C52:K52"/>
    <mergeCell ref="C54:K54"/>
    <mergeCell ref="C56:K56"/>
    <mergeCell ref="A164:K164"/>
    <mergeCell ref="A121:E121"/>
    <mergeCell ref="C111:D111"/>
    <mergeCell ref="F126:G126"/>
    <mergeCell ref="C101:D101"/>
    <mergeCell ref="A131:F131"/>
    <mergeCell ref="C104:D104"/>
    <mergeCell ref="A108:B111"/>
    <mergeCell ref="C108:D108"/>
    <mergeCell ref="C109:D109"/>
    <mergeCell ref="A153:D153"/>
    <mergeCell ref="A101:B104"/>
    <mergeCell ref="E127:E129"/>
    <mergeCell ref="B148:K148"/>
    <mergeCell ref="H158:J158"/>
    <mergeCell ref="H157:J157"/>
    <mergeCell ref="H159:J159"/>
    <mergeCell ref="B145:K145"/>
    <mergeCell ref="C55:J55"/>
    <mergeCell ref="B141:K141"/>
    <mergeCell ref="A1:K1"/>
    <mergeCell ref="A6:B6"/>
    <mergeCell ref="A7:B7"/>
    <mergeCell ref="A29:D29"/>
    <mergeCell ref="E29:F29"/>
    <mergeCell ref="A11:B11"/>
    <mergeCell ref="D11:F11"/>
    <mergeCell ref="A8:B8"/>
    <mergeCell ref="A25:K25"/>
    <mergeCell ref="A12:J12"/>
    <mergeCell ref="A17:D17"/>
    <mergeCell ref="A24:D24"/>
    <mergeCell ref="E14:H14"/>
    <mergeCell ref="E15:H15"/>
    <mergeCell ref="E16:H16"/>
    <mergeCell ref="E18:H18"/>
    <mergeCell ref="A27:K27"/>
    <mergeCell ref="A28:K28"/>
    <mergeCell ref="E23:H23"/>
    <mergeCell ref="J3:K3"/>
    <mergeCell ref="E24:H24"/>
    <mergeCell ref="A4:D4"/>
    <mergeCell ref="S21:W21"/>
    <mergeCell ref="A14:D14"/>
    <mergeCell ref="A15:D15"/>
    <mergeCell ref="A16:D16"/>
    <mergeCell ref="S23:U23"/>
    <mergeCell ref="E17:H17"/>
    <mergeCell ref="E10:F10"/>
    <mergeCell ref="A10:D10"/>
    <mergeCell ref="A19:D19"/>
    <mergeCell ref="A20:D20"/>
    <mergeCell ref="A21:D21"/>
    <mergeCell ref="A22:D22"/>
    <mergeCell ref="A23:D23"/>
    <mergeCell ref="A18:D18"/>
    <mergeCell ref="D7:K7"/>
    <mergeCell ref="D8:K8"/>
    <mergeCell ref="E19:H19"/>
    <mergeCell ref="E20:H20"/>
    <mergeCell ref="A73:K73"/>
    <mergeCell ref="A100:B100"/>
    <mergeCell ref="C100:E100"/>
    <mergeCell ref="E94:F94"/>
    <mergeCell ref="E95:F95"/>
    <mergeCell ref="J10:K10"/>
    <mergeCell ref="H10:I10"/>
    <mergeCell ref="D6:K6"/>
    <mergeCell ref="W23:Y23"/>
    <mergeCell ref="A31:H31"/>
    <mergeCell ref="C60:K60"/>
    <mergeCell ref="A84:K85"/>
    <mergeCell ref="C65:J65"/>
    <mergeCell ref="C61:J61"/>
    <mergeCell ref="A33:K34"/>
    <mergeCell ref="A93:C93"/>
    <mergeCell ref="A99:I99"/>
    <mergeCell ref="A94:C94"/>
    <mergeCell ref="G94:H94"/>
    <mergeCell ref="I94:J94"/>
    <mergeCell ref="I76:J76"/>
    <mergeCell ref="I77:J77"/>
    <mergeCell ref="A95:C95"/>
    <mergeCell ref="A97:K97"/>
    <mergeCell ref="A87:E87"/>
    <mergeCell ref="A91:C91"/>
    <mergeCell ref="G91:H91"/>
    <mergeCell ref="A123:E123"/>
    <mergeCell ref="E93:F93"/>
    <mergeCell ref="K108:K111"/>
    <mergeCell ref="K101:K104"/>
    <mergeCell ref="E92:F92"/>
    <mergeCell ref="I91:J91"/>
    <mergeCell ref="E91:F91"/>
    <mergeCell ref="I93:J93"/>
    <mergeCell ref="C103:D103"/>
    <mergeCell ref="C102:D102"/>
    <mergeCell ref="G93:H93"/>
    <mergeCell ref="G92:H92"/>
    <mergeCell ref="F107:G107"/>
    <mergeCell ref="G95:H95"/>
    <mergeCell ref="I95:J95"/>
    <mergeCell ref="B162:C162"/>
    <mergeCell ref="C157:F157"/>
    <mergeCell ref="C158:F158"/>
    <mergeCell ref="C159:F159"/>
    <mergeCell ref="C160:F160"/>
    <mergeCell ref="G3:I3"/>
    <mergeCell ref="G38:I38"/>
    <mergeCell ref="G81:I81"/>
    <mergeCell ref="G120:I120"/>
    <mergeCell ref="F100:G100"/>
    <mergeCell ref="C62:F62"/>
    <mergeCell ref="A71:E71"/>
    <mergeCell ref="A92:C92"/>
    <mergeCell ref="C68:H68"/>
    <mergeCell ref="A82:E82"/>
    <mergeCell ref="C63:J63"/>
    <mergeCell ref="A89:K89"/>
    <mergeCell ref="I92:J92"/>
    <mergeCell ref="C75:D75"/>
    <mergeCell ref="E75:F75"/>
    <mergeCell ref="G75:H75"/>
    <mergeCell ref="C58:K58"/>
    <mergeCell ref="C47:K48"/>
    <mergeCell ref="A125:I125"/>
  </mergeCells>
  <printOptions horizontalCentered="1"/>
  <pageMargins left="0.23622047244094491" right="0.23622047244094491" top="0.74803149606299213" bottom="0.74803149606299213" header="0.31496062992125984" footer="0.31496062992125984"/>
  <pageSetup scale="65" orientation="portrait" r:id="rId1"/>
  <headerFooter>
    <oddHeader>&amp;C
&amp;"-,Negrita"MODIFICACIÓN AL CERTIFICADO DE CALIBRACIÓN DE RECIPIENTES VOLUMÉTRICOS</oddHeader>
    <oddFooter xml:space="preserve">&amp;RRT03-F38 Vr.8 (2021-05-24)
&amp;P de 4 </oddFooter>
  </headerFooter>
  <rowBreaks count="3" manualBreakCount="3">
    <brk id="35" max="10" man="1"/>
    <brk id="78" max="10" man="1"/>
    <brk id="117" max="10" man="1"/>
  </rowBreaks>
  <colBreaks count="1" manualBreakCount="1">
    <brk id="11" max="1048575" man="1"/>
  </colBreaks>
  <ignoredErrors>
    <ignoredError sqref="I95 G95 D95" evalError="1"/>
  </ignoredErrors>
  <drawing r:id="rId2"/>
  <extLst>
    <ext xmlns:x14="http://schemas.microsoft.com/office/spreadsheetml/2009/9/main" uri="{78C0D931-6437-407d-A8EE-F0AAD7539E65}">
      <x14:conditionalFormattings>
        <x14:conditionalFormatting xmlns:xm="http://schemas.microsoft.com/office/excel/2006/main">
          <x14:cfRule type="containsText" priority="11" operator="containsText" id="{3D4A6520-9655-4425-85F5-EDE05C527B4C}">
            <xm:f>NOT(ISERROR(SEARCH($F$108,F121)))</xm:f>
            <xm:f>$F$108</xm:f>
            <x14:dxf>
              <font>
                <b/>
                <i val="0"/>
              </font>
            </x14:dxf>
          </x14:cfRule>
          <x14:cfRule type="containsText" priority="12" stopIfTrue="1" operator="containsText" id="{10145571-340A-42E6-A73D-51EBE00510D1}">
            <xm:f>NOT(ISERROR(SEARCH($F$108,F121)))</xm:f>
            <xm:f>$F$108</xm:f>
            <x14:dxf>
              <font>
                <b/>
                <i val="0"/>
                <color auto="1"/>
              </font>
              <fill>
                <patternFill>
                  <bgColor rgb="FFFFC7CE"/>
                </patternFill>
              </fill>
            </x14:dxf>
          </x14:cfRule>
          <xm:sqref>F121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800-000000000000}">
          <x14:formula1>
            <xm:f>'DATOS %'!$P$9:$P$13</xm:f>
          </x14:formula1>
          <xm:sqref>K157 A157</xm:sqref>
        </x14:dataValidation>
        <x14:dataValidation type="list" allowBlank="1" showInputMessage="1" showErrorMessage="1" xr:uid="{00000000-0002-0000-0800-000001000000}">
          <x14:formula1>
            <xm:f>'DATOS %'!$C$112:$C$117</xm:f>
          </x14:formula1>
          <xm:sqref>K95</xm:sqref>
        </x14:dataValidation>
        <x14:dataValidation type="list" allowBlank="1" showInputMessage="1" showErrorMessage="1" xr:uid="{00000000-0002-0000-0800-000002000000}">
          <x14:formula1>
            <xm:f>'DATOS %'!$Q$26:$Q$28</xm:f>
          </x14:formula1>
          <xm:sqref>B77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15</vt:i4>
      </vt:variant>
    </vt:vector>
  </HeadingPairs>
  <TitlesOfParts>
    <vt:vector size="25" baseType="lpstr">
      <vt:lpstr>DATOS %</vt:lpstr>
      <vt:lpstr>RT03-F11 %</vt:lpstr>
      <vt:lpstr>Después de ajuste %</vt:lpstr>
      <vt:lpstr>Pc %</vt:lpstr>
      <vt:lpstr>VERIFICACIÓN DE LA ESCALA %</vt:lpstr>
      <vt:lpstr>CMC %</vt:lpstr>
      <vt:lpstr>Máx. y Mín. %</vt:lpstr>
      <vt:lpstr>RT03-F14% </vt:lpstr>
      <vt:lpstr>RT03-F38 % </vt:lpstr>
      <vt:lpstr>RT03-F17 %</vt:lpstr>
      <vt:lpstr>'CMC %'!Área_de_impresión</vt:lpstr>
      <vt:lpstr>'DATOS %'!Área_de_impresión</vt:lpstr>
      <vt:lpstr>'Después de ajuste %'!Área_de_impresión</vt:lpstr>
      <vt:lpstr>'Máx. y Mín. %'!Área_de_impresión</vt:lpstr>
      <vt:lpstr>'Pc %'!Área_de_impresión</vt:lpstr>
      <vt:lpstr>'RT03-F11 %'!Área_de_impresión</vt:lpstr>
      <vt:lpstr>'RT03-F14% '!Área_de_impresión</vt:lpstr>
      <vt:lpstr>'RT03-F17 %'!Área_de_impresión</vt:lpstr>
      <vt:lpstr>'RT03-F38 % '!Área_de_impresión</vt:lpstr>
      <vt:lpstr>'VERIFICACIÓN DE LA ESCALA %'!Área_de_impresión</vt:lpstr>
      <vt:lpstr>'RT03-F14% '!Print_Area</vt:lpstr>
      <vt:lpstr>'RT03-F17 %'!Print_Area</vt:lpstr>
      <vt:lpstr>'RT03-F38 % '!Print_Area</vt:lpstr>
      <vt:lpstr>'VERIFICACIÓN DE LA ESCALA %'!Print_Area</vt:lpstr>
      <vt:lpstr>'VERIFICACIÓN DE LA ESCALA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Laboratorio de Volumen SIC</dc:creator>
  <cp:lastModifiedBy>PERSONAL</cp:lastModifiedBy>
  <cp:lastPrinted>2021-05-09T23:22:47Z</cp:lastPrinted>
  <dcterms:created xsi:type="dcterms:W3CDTF">2015-11-06T23:47:29Z</dcterms:created>
  <dcterms:modified xsi:type="dcterms:W3CDTF">2021-05-25T01:35:09Z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722878</vt:i4>
  </property>
</Properties>
</file>